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255" windowWidth="14940" windowHeight="8385" activeTab="3"/>
  </bookViews>
  <sheets>
    <sheet name="How to use" sheetId="14" r:id="rId1"/>
    <sheet name="Data Introduction" sheetId="5" r:id="rId2"/>
    <sheet name="Calculus" sheetId="9" state="hidden" r:id="rId3"/>
    <sheet name="Results" sheetId="13" r:id="rId4"/>
  </sheets>
  <definedNames>
    <definedName name="_xlnm.Print_Area" localSheetId="1">'Data Introduction'!#REF!</definedName>
    <definedName name="_xlnm.Print_Area" localSheetId="3">Results!$A$1:$I$57</definedName>
  </definedNames>
  <calcPr calcId="145621"/>
</workbook>
</file>

<file path=xl/calcChain.xml><?xml version="1.0" encoding="utf-8"?>
<calcChain xmlns="http://schemas.openxmlformats.org/spreadsheetml/2006/main">
  <c r="F44" i="13" l="1"/>
  <c r="F42" i="13"/>
  <c r="F40" i="13"/>
  <c r="F38" i="13"/>
  <c r="G38" i="13" s="1"/>
  <c r="F36" i="13"/>
  <c r="F34" i="13"/>
  <c r="F32" i="13"/>
  <c r="F30" i="13"/>
  <c r="G30" i="13" s="1"/>
  <c r="F28" i="13"/>
  <c r="F26" i="13"/>
  <c r="F24" i="13"/>
  <c r="F22" i="13"/>
  <c r="G22" i="13" s="1"/>
  <c r="F20" i="13"/>
  <c r="F18" i="13"/>
  <c r="F16" i="13"/>
  <c r="F14" i="13"/>
  <c r="G14" i="13" s="1"/>
  <c r="F12" i="13"/>
  <c r="F10" i="13"/>
  <c r="F8" i="13"/>
  <c r="F6" i="13"/>
  <c r="G6" i="13" s="1"/>
  <c r="F4" i="13"/>
  <c r="G44" i="13"/>
  <c r="G42" i="13"/>
  <c r="G40" i="13"/>
  <c r="G36" i="13"/>
  <c r="G34" i="13"/>
  <c r="G32" i="13"/>
  <c r="G28" i="13"/>
  <c r="G26" i="13"/>
  <c r="G24" i="13"/>
  <c r="G20" i="13"/>
  <c r="G18" i="13"/>
  <c r="G16" i="13"/>
  <c r="G12" i="13"/>
  <c r="G10" i="13"/>
  <c r="G8" i="13"/>
  <c r="G4" i="13"/>
  <c r="H52" i="13" l="1"/>
  <c r="H51" i="13"/>
  <c r="H50" i="13"/>
  <c r="E44" i="13"/>
  <c r="E42" i="13"/>
  <c r="E40" i="13"/>
  <c r="E38" i="13"/>
  <c r="E36" i="13"/>
  <c r="E34" i="13"/>
  <c r="E32" i="13"/>
  <c r="E30" i="13"/>
  <c r="E28" i="13"/>
  <c r="E26" i="13"/>
  <c r="E24" i="13"/>
  <c r="E22" i="13"/>
  <c r="E20" i="13"/>
  <c r="E18" i="13"/>
  <c r="E16" i="13"/>
  <c r="E14" i="13"/>
  <c r="E12" i="13"/>
  <c r="E10" i="13"/>
  <c r="E8" i="13"/>
  <c r="E6" i="13"/>
  <c r="E4" i="13"/>
  <c r="AG34" i="9" l="1"/>
  <c r="AJ33" i="9"/>
  <c r="AI33" i="9"/>
  <c r="AH33" i="9"/>
  <c r="AL33" i="9" s="1"/>
  <c r="AJ32" i="9"/>
  <c r="AI32" i="9"/>
  <c r="AH32" i="9"/>
  <c r="AL32" i="9" s="1"/>
  <c r="AJ31" i="9"/>
  <c r="AI31" i="9"/>
  <c r="AH31" i="9"/>
  <c r="AL31" i="9" s="1"/>
  <c r="AJ30" i="9"/>
  <c r="AI30" i="9"/>
  <c r="AH30" i="9"/>
  <c r="AL30" i="9" s="1"/>
  <c r="AG27" i="9"/>
  <c r="AJ26" i="9"/>
  <c r="AI26" i="9"/>
  <c r="AH26" i="9"/>
  <c r="AL26" i="9" s="1"/>
  <c r="AJ25" i="9"/>
  <c r="AI25" i="9"/>
  <c r="AH25" i="9"/>
  <c r="AK25" i="9" s="1"/>
  <c r="AJ24" i="9"/>
  <c r="AI24" i="9"/>
  <c r="AH24" i="9"/>
  <c r="AL24" i="9" s="1"/>
  <c r="AJ23" i="9"/>
  <c r="AI23" i="9"/>
  <c r="AH23" i="9"/>
  <c r="AK23" i="9" s="1"/>
  <c r="Z33" i="9"/>
  <c r="Y33" i="9"/>
  <c r="Z32" i="9"/>
  <c r="Y32" i="9"/>
  <c r="Z31" i="9"/>
  <c r="Y31" i="9"/>
  <c r="Z30" i="9"/>
  <c r="Y30" i="9"/>
  <c r="P33" i="9"/>
  <c r="O33" i="9"/>
  <c r="P32" i="9"/>
  <c r="O32" i="9"/>
  <c r="P31" i="9"/>
  <c r="O31" i="9"/>
  <c r="P30" i="9"/>
  <c r="O30" i="9"/>
  <c r="Z26" i="9"/>
  <c r="Y26" i="9"/>
  <c r="Z25" i="9"/>
  <c r="Y25" i="9"/>
  <c r="Z24" i="9"/>
  <c r="Y24" i="9"/>
  <c r="Z23" i="9"/>
  <c r="Y23" i="9"/>
  <c r="P26" i="9"/>
  <c r="O26" i="9"/>
  <c r="P25" i="9"/>
  <c r="O25" i="9"/>
  <c r="P24" i="9"/>
  <c r="O24" i="9"/>
  <c r="P23" i="9"/>
  <c r="O23" i="9"/>
  <c r="O27" i="9" s="1"/>
  <c r="N23" i="9"/>
  <c r="R23" i="9" s="1"/>
  <c r="N24" i="9"/>
  <c r="R24" i="9" s="1"/>
  <c r="N25" i="9"/>
  <c r="R25" i="9" s="1"/>
  <c r="N26" i="9"/>
  <c r="R26" i="9" s="1"/>
  <c r="Y9" i="9"/>
  <c r="Y8" i="9"/>
  <c r="Y4" i="9"/>
  <c r="Y3" i="9"/>
  <c r="W27" i="9"/>
  <c r="M27" i="9"/>
  <c r="X26" i="9"/>
  <c r="AB26" i="9" s="1"/>
  <c r="Y27" i="9"/>
  <c r="X25" i="9"/>
  <c r="AB25" i="9" s="1"/>
  <c r="X24" i="9"/>
  <c r="AB24" i="9" s="1"/>
  <c r="Z27" i="9"/>
  <c r="X23" i="9"/>
  <c r="AB23" i="9" s="1"/>
  <c r="P27" i="9"/>
  <c r="W34" i="9"/>
  <c r="M34" i="9"/>
  <c r="X33" i="9"/>
  <c r="AB33" i="9" s="1"/>
  <c r="N33" i="9"/>
  <c r="R33" i="9" s="1"/>
  <c r="X32" i="9"/>
  <c r="AB32" i="9" s="1"/>
  <c r="N32" i="9"/>
  <c r="R32" i="9" s="1"/>
  <c r="X31" i="9"/>
  <c r="AB31" i="9" s="1"/>
  <c r="N31" i="9"/>
  <c r="R31" i="9" s="1"/>
  <c r="X30" i="9"/>
  <c r="AB30" i="9" s="1"/>
  <c r="N30" i="9"/>
  <c r="R30" i="9" s="1"/>
  <c r="Q25" i="9" l="1"/>
  <c r="Q23" i="9"/>
  <c r="AJ34" i="9"/>
  <c r="AM31" i="9"/>
  <c r="AJ27" i="9"/>
  <c r="AK24" i="9"/>
  <c r="AI34" i="9"/>
  <c r="AK33" i="9"/>
  <c r="AK31" i="9"/>
  <c r="AM33" i="9"/>
  <c r="AI27" i="9"/>
  <c r="AK26" i="9"/>
  <c r="AM32" i="9"/>
  <c r="AL34" i="9"/>
  <c r="H14" i="13" s="1"/>
  <c r="AM30" i="9"/>
  <c r="AK30" i="9"/>
  <c r="AK32" i="9"/>
  <c r="AL23" i="9"/>
  <c r="AL25" i="9"/>
  <c r="AA30" i="9"/>
  <c r="AA31" i="9"/>
  <c r="AA32" i="9"/>
  <c r="AA33" i="9"/>
  <c r="Q30" i="9"/>
  <c r="Q31" i="9"/>
  <c r="Q32" i="9"/>
  <c r="Q33" i="9"/>
  <c r="AA23" i="9"/>
  <c r="AA24" i="9"/>
  <c r="AA25" i="9"/>
  <c r="AA26" i="9"/>
  <c r="Q24" i="9"/>
  <c r="Q26" i="9"/>
  <c r="R27" i="9"/>
  <c r="H4" i="13" s="1"/>
  <c r="S23" i="9"/>
  <c r="AC23" i="9"/>
  <c r="AB27" i="9"/>
  <c r="H6" i="13" s="1"/>
  <c r="S24" i="9"/>
  <c r="AC24" i="9"/>
  <c r="S25" i="9"/>
  <c r="AC25" i="9"/>
  <c r="S26" i="9"/>
  <c r="AC26" i="9"/>
  <c r="E53" i="13"/>
  <c r="E52" i="13"/>
  <c r="E51" i="13"/>
  <c r="E50" i="13"/>
  <c r="M55" i="9"/>
  <c r="N54" i="9"/>
  <c r="N53" i="9"/>
  <c r="N52" i="9"/>
  <c r="N51" i="9"/>
  <c r="D63" i="9"/>
  <c r="D62" i="9"/>
  <c r="D61" i="9"/>
  <c r="X40" i="9"/>
  <c r="X39" i="9"/>
  <c r="X38" i="9"/>
  <c r="X37" i="9"/>
  <c r="N40" i="9"/>
  <c r="N39" i="9"/>
  <c r="N38" i="9"/>
  <c r="N37" i="9"/>
  <c r="I4" i="13" l="1"/>
  <c r="I14" i="13"/>
  <c r="I6" i="13"/>
  <c r="AA27" i="9"/>
  <c r="AM24" i="9"/>
  <c r="AK27" i="9"/>
  <c r="AM25" i="9"/>
  <c r="AK34" i="9"/>
  <c r="AL27" i="9"/>
  <c r="H8" i="13" s="1"/>
  <c r="AM23" i="9"/>
  <c r="AM26" i="9"/>
  <c r="Q27" i="9"/>
  <c r="O14" i="9"/>
  <c r="O13" i="9"/>
  <c r="Q52" i="9" s="1"/>
  <c r="O9" i="9"/>
  <c r="O8" i="9"/>
  <c r="O4" i="9"/>
  <c r="O3" i="9"/>
  <c r="E14" i="9"/>
  <c r="H62" i="9" s="1"/>
  <c r="E13" i="9"/>
  <c r="G62" i="9" s="1"/>
  <c r="E9" i="9"/>
  <c r="E8" i="9"/>
  <c r="E4" i="9"/>
  <c r="E3" i="9"/>
  <c r="I8" i="13" l="1"/>
  <c r="Z34" i="9"/>
  <c r="P54" i="9"/>
  <c r="P53" i="9"/>
  <c r="P52" i="9"/>
  <c r="P51" i="9"/>
  <c r="P55" i="9" s="1"/>
  <c r="R52" i="9"/>
  <c r="R51" i="9"/>
  <c r="R54" i="9"/>
  <c r="R53" i="9"/>
  <c r="O53" i="9"/>
  <c r="O51" i="9"/>
  <c r="Q54" i="9"/>
  <c r="O52" i="9"/>
  <c r="O54" i="9"/>
  <c r="Q51" i="9"/>
  <c r="Q53" i="9"/>
  <c r="G61" i="9"/>
  <c r="P94" i="9"/>
  <c r="Z95" i="9"/>
  <c r="Z93" i="9"/>
  <c r="P95" i="9"/>
  <c r="P93" i="9"/>
  <c r="Z96" i="9"/>
  <c r="Z94" i="9"/>
  <c r="P96" i="9"/>
  <c r="AA40" i="9"/>
  <c r="Y73" i="9"/>
  <c r="Y71" i="9"/>
  <c r="O73" i="9"/>
  <c r="O71" i="9"/>
  <c r="O72" i="9"/>
  <c r="E71" i="9"/>
  <c r="E72" i="9"/>
  <c r="Y72" i="9"/>
  <c r="Y70" i="9"/>
  <c r="O70" i="9"/>
  <c r="E70" i="9"/>
  <c r="E73" i="9"/>
  <c r="O80" i="9"/>
  <c r="O78" i="9"/>
  <c r="O79" i="9"/>
  <c r="O77" i="9"/>
  <c r="E77" i="9"/>
  <c r="E78" i="9"/>
  <c r="E79" i="9"/>
  <c r="E80" i="9"/>
  <c r="AB38" i="9"/>
  <c r="F71" i="9"/>
  <c r="F73" i="9"/>
  <c r="F72" i="9"/>
  <c r="Z73" i="9"/>
  <c r="P73" i="9"/>
  <c r="Z72" i="9"/>
  <c r="Z70" i="9"/>
  <c r="P72" i="9"/>
  <c r="P70" i="9"/>
  <c r="F70" i="9"/>
  <c r="Z71" i="9"/>
  <c r="P71" i="9"/>
  <c r="F85" i="9"/>
  <c r="F87" i="9"/>
  <c r="F61" i="9"/>
  <c r="F86" i="9"/>
  <c r="F60" i="9"/>
  <c r="P63" i="9"/>
  <c r="P86" i="9"/>
  <c r="P84" i="9"/>
  <c r="F84" i="9"/>
  <c r="P62" i="9"/>
  <c r="P60" i="9"/>
  <c r="F63" i="9"/>
  <c r="P87" i="9"/>
  <c r="P85" i="9"/>
  <c r="P61" i="9"/>
  <c r="F62" i="9"/>
  <c r="F78" i="9"/>
  <c r="F80" i="9"/>
  <c r="P80" i="9"/>
  <c r="P79" i="9"/>
  <c r="P77" i="9"/>
  <c r="F77" i="9"/>
  <c r="F79" i="9"/>
  <c r="P78" i="9"/>
  <c r="H63" i="9"/>
  <c r="P44" i="9"/>
  <c r="P45" i="9"/>
  <c r="P47" i="9"/>
  <c r="P46" i="9"/>
  <c r="O87" i="9"/>
  <c r="O85" i="9"/>
  <c r="O63" i="9"/>
  <c r="O61" i="9"/>
  <c r="O86" i="9"/>
  <c r="O62" i="9"/>
  <c r="E62" i="9"/>
  <c r="E85" i="9"/>
  <c r="E61" i="9"/>
  <c r="E86" i="9"/>
  <c r="E63" i="9"/>
  <c r="O84" i="9"/>
  <c r="E84" i="9"/>
  <c r="O60" i="9"/>
  <c r="E87" i="9"/>
  <c r="E60" i="9"/>
  <c r="Y96" i="9"/>
  <c r="Y94" i="9"/>
  <c r="O96" i="9"/>
  <c r="O94" i="9"/>
  <c r="Y95" i="9"/>
  <c r="O95" i="9"/>
  <c r="Y93" i="9"/>
  <c r="O93" i="9"/>
  <c r="O45" i="9"/>
  <c r="O47" i="9"/>
  <c r="O46" i="9"/>
  <c r="O44" i="9"/>
  <c r="G63" i="9"/>
  <c r="H61" i="9"/>
  <c r="AB40" i="9"/>
  <c r="AA37" i="9"/>
  <c r="Q37" i="9"/>
  <c r="R38" i="9"/>
  <c r="AB39" i="9"/>
  <c r="O39" i="9"/>
  <c r="O40" i="9"/>
  <c r="Y40" i="9"/>
  <c r="Y39" i="9"/>
  <c r="Y38" i="9"/>
  <c r="Y37" i="9"/>
  <c r="O37" i="9"/>
  <c r="O38" i="9"/>
  <c r="R37" i="9"/>
  <c r="Q39" i="9"/>
  <c r="AA39" i="9"/>
  <c r="R39" i="9"/>
  <c r="P40" i="9"/>
  <c r="Z40" i="9"/>
  <c r="Z39" i="9"/>
  <c r="Z38" i="9"/>
  <c r="Z37" i="9"/>
  <c r="P37" i="9"/>
  <c r="P38" i="9"/>
  <c r="P39" i="9"/>
  <c r="Q40" i="9"/>
  <c r="Q38" i="9"/>
  <c r="AA38" i="9"/>
  <c r="R40" i="9"/>
  <c r="AB37" i="9"/>
  <c r="M48" i="9"/>
  <c r="N47" i="9"/>
  <c r="N46" i="9"/>
  <c r="N45" i="9"/>
  <c r="N44" i="9"/>
  <c r="X96" i="9"/>
  <c r="X95" i="9"/>
  <c r="X94" i="9"/>
  <c r="X93" i="9"/>
  <c r="X73" i="9"/>
  <c r="X72" i="9"/>
  <c r="X71" i="9"/>
  <c r="X70" i="9"/>
  <c r="N96" i="9"/>
  <c r="N95" i="9"/>
  <c r="N94" i="9"/>
  <c r="N93" i="9"/>
  <c r="N87" i="9"/>
  <c r="N86" i="9"/>
  <c r="N85" i="9"/>
  <c r="N84" i="9"/>
  <c r="D87" i="9"/>
  <c r="D86" i="9"/>
  <c r="D85" i="9"/>
  <c r="D84" i="9"/>
  <c r="D80" i="9"/>
  <c r="D79" i="9"/>
  <c r="D78" i="9"/>
  <c r="D77" i="9"/>
  <c r="N80" i="9"/>
  <c r="N79" i="9"/>
  <c r="N78" i="9"/>
  <c r="N77" i="9"/>
  <c r="N73" i="9"/>
  <c r="N72" i="9"/>
  <c r="N71" i="9"/>
  <c r="N70" i="9"/>
  <c r="D73" i="9"/>
  <c r="D72" i="9"/>
  <c r="D71" i="9"/>
  <c r="D70" i="9"/>
  <c r="D60" i="9"/>
  <c r="N63" i="9"/>
  <c r="N62" i="9"/>
  <c r="N61" i="9"/>
  <c r="N60" i="9"/>
  <c r="C53" i="13"/>
  <c r="W97" i="9"/>
  <c r="M97" i="9"/>
  <c r="M88" i="9"/>
  <c r="C88" i="9"/>
  <c r="M81" i="9"/>
  <c r="C81" i="9"/>
  <c r="W74" i="9"/>
  <c r="M74" i="9"/>
  <c r="C74" i="9"/>
  <c r="M64" i="9"/>
  <c r="C64" i="9"/>
  <c r="W41" i="9"/>
  <c r="M41" i="9"/>
  <c r="C52" i="13"/>
  <c r="C51" i="13"/>
  <c r="C50" i="13"/>
  <c r="R55" i="9" l="1"/>
  <c r="H26" i="13" s="1"/>
  <c r="AC32" i="9"/>
  <c r="AC31" i="9"/>
  <c r="S33" i="9"/>
  <c r="S30" i="9"/>
  <c r="R34" i="9"/>
  <c r="H10" i="13" s="1"/>
  <c r="P34" i="9"/>
  <c r="AA34" i="9"/>
  <c r="AB34" i="9"/>
  <c r="H12" i="13" s="1"/>
  <c r="AC30" i="9"/>
  <c r="AC33" i="9"/>
  <c r="O34" i="9"/>
  <c r="S31" i="9"/>
  <c r="S32" i="9"/>
  <c r="Q34" i="9"/>
  <c r="Y34" i="9"/>
  <c r="S53" i="9"/>
  <c r="Q55" i="9"/>
  <c r="S51" i="9"/>
  <c r="I26" i="13" s="1"/>
  <c r="S54" i="9"/>
  <c r="O55" i="9"/>
  <c r="S52" i="9"/>
  <c r="F88" i="9"/>
  <c r="O97" i="9"/>
  <c r="P97" i="9"/>
  <c r="F81" i="9"/>
  <c r="E81" i="9"/>
  <c r="Z74" i="9"/>
  <c r="O81" i="9"/>
  <c r="O64" i="9"/>
  <c r="F64" i="9"/>
  <c r="Y97" i="9"/>
  <c r="O88" i="9"/>
  <c r="P81" i="9"/>
  <c r="P74" i="9"/>
  <c r="O74" i="9"/>
  <c r="Z97" i="9"/>
  <c r="P64" i="9"/>
  <c r="P88" i="9"/>
  <c r="Y74" i="9"/>
  <c r="R63" i="9"/>
  <c r="Q63" i="9"/>
  <c r="Q60" i="9"/>
  <c r="R60" i="9"/>
  <c r="R61" i="9"/>
  <c r="Q61" i="9"/>
  <c r="Q62" i="9"/>
  <c r="R62" i="9"/>
  <c r="AA95" i="9"/>
  <c r="AB95" i="9"/>
  <c r="AA96" i="9"/>
  <c r="AB96" i="9"/>
  <c r="AA93" i="9"/>
  <c r="AB93" i="9"/>
  <c r="AA94" i="9"/>
  <c r="AB94" i="9"/>
  <c r="Q95" i="9"/>
  <c r="R95" i="9"/>
  <c r="Q93" i="9"/>
  <c r="R93" i="9"/>
  <c r="Q96" i="9"/>
  <c r="R96" i="9"/>
  <c r="Q94" i="9"/>
  <c r="R94" i="9"/>
  <c r="Q87" i="9"/>
  <c r="R87" i="9"/>
  <c r="Q84" i="9"/>
  <c r="R84" i="9"/>
  <c r="Q86" i="9"/>
  <c r="R86" i="9"/>
  <c r="Q85" i="9"/>
  <c r="R85" i="9"/>
  <c r="G84" i="9"/>
  <c r="H84" i="9"/>
  <c r="H86" i="9"/>
  <c r="G86" i="9"/>
  <c r="H87" i="9"/>
  <c r="G87" i="9"/>
  <c r="H85" i="9"/>
  <c r="G85" i="9"/>
  <c r="G79" i="9"/>
  <c r="H79" i="9"/>
  <c r="G80" i="9"/>
  <c r="H80" i="9"/>
  <c r="H77" i="9"/>
  <c r="G77" i="9"/>
  <c r="G78" i="9"/>
  <c r="H78" i="9"/>
  <c r="Q79" i="9"/>
  <c r="R79" i="9"/>
  <c r="Q80" i="9"/>
  <c r="R80" i="9"/>
  <c r="Q77" i="9"/>
  <c r="R77" i="9"/>
  <c r="Q78" i="9"/>
  <c r="R78" i="9"/>
  <c r="AB72" i="9"/>
  <c r="AA72" i="9"/>
  <c r="AB73" i="9"/>
  <c r="AA73" i="9"/>
  <c r="AB70" i="9"/>
  <c r="AA70" i="9"/>
  <c r="AB71" i="9"/>
  <c r="AA71" i="9"/>
  <c r="Q73" i="9"/>
  <c r="R73" i="9"/>
  <c r="Q70" i="9"/>
  <c r="R70" i="9"/>
  <c r="Q72" i="9"/>
  <c r="R72" i="9"/>
  <c r="Q71" i="9"/>
  <c r="R71" i="9"/>
  <c r="H73" i="9"/>
  <c r="G73" i="9"/>
  <c r="H70" i="9"/>
  <c r="G70" i="9"/>
  <c r="H71" i="9"/>
  <c r="G71" i="9"/>
  <c r="H72" i="9"/>
  <c r="G72" i="9"/>
  <c r="H60" i="9"/>
  <c r="H64" i="9" s="1"/>
  <c r="H28" i="13" s="1"/>
  <c r="G60" i="9"/>
  <c r="G64" i="9" s="1"/>
  <c r="R46" i="9"/>
  <c r="Q46" i="9"/>
  <c r="Q44" i="9"/>
  <c r="R44" i="9"/>
  <c r="Q45" i="9"/>
  <c r="R45" i="9"/>
  <c r="R47" i="9"/>
  <c r="Q47" i="9"/>
  <c r="AA41" i="9"/>
  <c r="O41" i="9"/>
  <c r="AB41" i="9"/>
  <c r="H18" i="13" s="1"/>
  <c r="P41" i="9"/>
  <c r="R41" i="9"/>
  <c r="H16" i="13" s="1"/>
  <c r="Q41" i="9"/>
  <c r="Z41" i="9"/>
  <c r="Y41" i="9"/>
  <c r="O48" i="9"/>
  <c r="E74" i="9"/>
  <c r="I12" i="13" l="1"/>
  <c r="I10" i="13"/>
  <c r="Q81" i="9"/>
  <c r="G88" i="9"/>
  <c r="AA97" i="9"/>
  <c r="AB74" i="9"/>
  <c r="H36" i="13" s="1"/>
  <c r="G74" i="9"/>
  <c r="Q64" i="9"/>
  <c r="R64" i="9"/>
  <c r="H30" i="13" s="1"/>
  <c r="R81" i="9"/>
  <c r="H40" i="13" s="1"/>
  <c r="AB97" i="9"/>
  <c r="H22" i="13" s="1"/>
  <c r="Q97" i="9"/>
  <c r="R97" i="9"/>
  <c r="H20" i="13" s="1"/>
  <c r="R88" i="9"/>
  <c r="H44" i="13" s="1"/>
  <c r="Q88" i="9"/>
  <c r="H88" i="9"/>
  <c r="H42" i="13" s="1"/>
  <c r="G81" i="9"/>
  <c r="H81" i="9"/>
  <c r="H38" i="13" s="1"/>
  <c r="AA74" i="9"/>
  <c r="R74" i="9"/>
  <c r="H34" i="13" s="1"/>
  <c r="Q74" i="9"/>
  <c r="H74" i="9"/>
  <c r="H32" i="13" s="1"/>
  <c r="R48" i="9"/>
  <c r="H24" i="13" s="1"/>
  <c r="Q48" i="9"/>
  <c r="S45" i="9"/>
  <c r="I87" i="9"/>
  <c r="I78" i="9"/>
  <c r="P48" i="9"/>
  <c r="I85" i="9"/>
  <c r="E64" i="9"/>
  <c r="E88" i="9"/>
  <c r="AC73" i="9"/>
  <c r="F74" i="9"/>
  <c r="AC70" i="9"/>
  <c r="I36" i="13" s="1"/>
  <c r="AC71" i="9"/>
  <c r="AC72" i="9"/>
  <c r="I79" i="9"/>
  <c r="S93" i="9"/>
  <c r="I86" i="9"/>
  <c r="I71" i="9"/>
  <c r="S80" i="9"/>
  <c r="S62" i="9"/>
  <c r="AC93" i="9"/>
  <c r="I84" i="9"/>
  <c r="I42" i="13" s="1"/>
  <c r="I73" i="9"/>
  <c r="I72" i="9"/>
  <c r="I70" i="9"/>
  <c r="I32" i="13" s="1"/>
  <c r="S84" i="9"/>
  <c r="I44" i="13" s="1"/>
  <c r="S87" i="9"/>
  <c r="S85" i="9"/>
  <c r="I80" i="9"/>
  <c r="I63" i="9"/>
  <c r="I61" i="9"/>
  <c r="S40" i="9"/>
  <c r="I62" i="9"/>
  <c r="S37" i="9"/>
  <c r="I16" i="13" s="1"/>
  <c r="S39" i="9"/>
  <c r="S70" i="9"/>
  <c r="I34" i="13" s="1"/>
  <c r="AC38" i="9"/>
  <c r="AC39" i="9"/>
  <c r="AC37" i="9"/>
  <c r="I18" i="13" s="1"/>
  <c r="S46" i="9"/>
  <c r="S79" i="9"/>
  <c r="S77" i="9"/>
  <c r="I40" i="13" s="1"/>
  <c r="S71" i="9"/>
  <c r="S73" i="9"/>
  <c r="S72" i="9"/>
  <c r="S78" i="9"/>
  <c r="S95" i="9"/>
  <c r="S38" i="9"/>
  <c r="S63" i="9"/>
  <c r="S61" i="9"/>
  <c r="S60" i="9"/>
  <c r="I30" i="13" s="1"/>
  <c r="AC40" i="9"/>
  <c r="S94" i="9"/>
  <c r="I60" i="9"/>
  <c r="I28" i="13" s="1"/>
  <c r="AC96" i="9"/>
  <c r="AC94" i="9"/>
  <c r="S96" i="9"/>
  <c r="I77" i="9"/>
  <c r="I38" i="13" s="1"/>
  <c r="AC95" i="9"/>
  <c r="S47" i="9"/>
  <c r="S44" i="9"/>
  <c r="I24" i="13" s="1"/>
  <c r="S86" i="9"/>
  <c r="I22" i="13" l="1"/>
  <c r="I20" i="13"/>
</calcChain>
</file>

<file path=xl/comments1.xml><?xml version="1.0" encoding="utf-8"?>
<comments xmlns="http://schemas.openxmlformats.org/spreadsheetml/2006/main">
  <authors>
    <author>Garcia, Raquel</author>
  </authors>
  <commentList>
    <comment ref="A25" authorId="0">
      <text>
        <r>
          <rPr>
            <sz val="10"/>
            <color indexed="81"/>
            <rFont val="Futura Bk"/>
            <family val="2"/>
          </rPr>
          <t>Q1426A - HP Universal Gloss Photo Paper</t>
        </r>
      </text>
    </comment>
    <comment ref="A26" authorId="0">
      <text>
        <r>
          <rPr>
            <sz val="10"/>
            <color indexed="81"/>
            <rFont val="Futura Bk"/>
            <family val="2"/>
          </rPr>
          <t>C6019B - HP Coated Paper</t>
        </r>
      </text>
    </comment>
    <comment ref="A27" authorId="0">
      <text>
        <r>
          <rPr>
            <sz val="10"/>
            <color indexed="81"/>
            <rFont val="Futura Bk"/>
            <family val="2"/>
          </rPr>
          <t>C6035A - HP Bright White Inkjet Paper</t>
        </r>
      </text>
    </comment>
  </commentList>
</comments>
</file>

<file path=xl/sharedStrings.xml><?xml version="1.0" encoding="utf-8"?>
<sst xmlns="http://schemas.openxmlformats.org/spreadsheetml/2006/main" count="464" uniqueCount="95">
  <si>
    <t>Print mode</t>
  </si>
  <si>
    <t>Quality</t>
  </si>
  <si>
    <t>Media type</t>
  </si>
  <si>
    <t>Price</t>
  </si>
  <si>
    <t>Consumible prices</t>
  </si>
  <si>
    <t>Cartridge price</t>
  </si>
  <si>
    <t>Cyan</t>
  </si>
  <si>
    <t>Magenta</t>
  </si>
  <si>
    <t>Yellow</t>
  </si>
  <si>
    <t>File</t>
  </si>
  <si>
    <t>Consumable prices</t>
  </si>
  <si>
    <t>prints/cartridge</t>
  </si>
  <si>
    <t>Size:</t>
  </si>
  <si>
    <t>Coverage:</t>
  </si>
  <si>
    <t>C</t>
  </si>
  <si>
    <t>M</t>
  </si>
  <si>
    <t>Y</t>
  </si>
  <si>
    <t>Average</t>
  </si>
  <si>
    <t>ml</t>
  </si>
  <si>
    <t>To introduce your data, change the values below:</t>
  </si>
  <si>
    <t>Best</t>
  </si>
  <si>
    <t>Normal</t>
  </si>
  <si>
    <t>Cartridge</t>
  </si>
  <si>
    <t>Shadows</t>
  </si>
  <si>
    <t>PLAIN PAPER</t>
  </si>
  <si>
    <t>GLOSSY PAPER</t>
  </si>
  <si>
    <t>COATED PAPER</t>
  </si>
  <si>
    <t>Shadows Best MD OFF</t>
  </si>
  <si>
    <t>Shadows Normal MD OFF</t>
  </si>
  <si>
    <t>28" x 19.4"</t>
  </si>
  <si>
    <t>Fast</t>
  </si>
  <si>
    <t>Portland</t>
  </si>
  <si>
    <t>4775 mono &amp; Color</t>
  </si>
  <si>
    <t>Portland Best MD OFF</t>
  </si>
  <si>
    <t>Portland Normal MD OFF</t>
  </si>
  <si>
    <t>Media</t>
  </si>
  <si>
    <t>Plain</t>
  </si>
  <si>
    <t>Coated</t>
  </si>
  <si>
    <t>Glossy</t>
  </si>
  <si>
    <t>N5</t>
  </si>
  <si>
    <t>22" x 27,5""</t>
  </si>
  <si>
    <t>N5 Best MD OFF</t>
  </si>
  <si>
    <t>N5 Fast MD OFF</t>
  </si>
  <si>
    <t>N5 Normal MD OFF</t>
  </si>
  <si>
    <t>Photo Gloss Paper</t>
  </si>
  <si>
    <t>Coated Paper</t>
  </si>
  <si>
    <t>4775 mono Normal MD OFF</t>
  </si>
  <si>
    <t>4775 mono Fast MD OFF</t>
  </si>
  <si>
    <r>
      <t>Ink usage</t>
    </r>
    <r>
      <rPr>
        <vertAlign val="superscript"/>
        <sz val="12"/>
        <color indexed="9"/>
        <rFont val="HP Simplified"/>
        <family val="2"/>
      </rPr>
      <t xml:space="preserve"> (1)</t>
    </r>
  </si>
  <si>
    <r>
      <t xml:space="preserve">Fast
</t>
    </r>
    <r>
      <rPr>
        <sz val="9"/>
        <color indexed="8"/>
        <rFont val="HP Simplified"/>
        <family val="2"/>
      </rPr>
      <t>(Economode OFF)</t>
    </r>
  </si>
  <si>
    <r>
      <t>Fast</t>
    </r>
    <r>
      <rPr>
        <sz val="9"/>
        <color indexed="8"/>
        <rFont val="HP Simplified"/>
        <family val="2"/>
      </rPr>
      <t xml:space="preserve">
(Economode OFF)</t>
    </r>
  </si>
  <si>
    <t xml:space="preserve">Ink+media cost </t>
  </si>
  <si>
    <t>Black</t>
  </si>
  <si>
    <t>Capacity (ml)</t>
  </si>
  <si>
    <t>HP Bright White Inkjet Paper /Plain Paper</t>
  </si>
  <si>
    <t>HP Coated Paper</t>
  </si>
  <si>
    <t>Area (sqft)</t>
  </si>
  <si>
    <t>Area (sqm)</t>
  </si>
  <si>
    <t>Computer</t>
  </si>
  <si>
    <t>22,5" x 31,82"</t>
  </si>
  <si>
    <t>Tangerines</t>
  </si>
  <si>
    <t>22,447" x 32,707"</t>
  </si>
  <si>
    <t>K</t>
  </si>
  <si>
    <t>Computer Normal MD OFF</t>
  </si>
  <si>
    <t>Tangerines Normal MD OFF</t>
  </si>
  <si>
    <t>22,99" x 30.83"</t>
  </si>
  <si>
    <r>
      <t>ml/ft</t>
    </r>
    <r>
      <rPr>
        <vertAlign val="superscript"/>
        <sz val="9"/>
        <rFont val="HP Simplified"/>
        <family val="2"/>
      </rPr>
      <t>2</t>
    </r>
  </si>
  <si>
    <r>
      <t>ml/m</t>
    </r>
    <r>
      <rPr>
        <vertAlign val="superscript"/>
        <sz val="9"/>
        <rFont val="HP Simplified"/>
        <family val="2"/>
      </rPr>
      <t>2</t>
    </r>
  </si>
  <si>
    <r>
      <t>ft</t>
    </r>
    <r>
      <rPr>
        <vertAlign val="superscript"/>
        <sz val="9"/>
        <rFont val="HP Simplified"/>
        <family val="2"/>
      </rPr>
      <t>2</t>
    </r>
    <r>
      <rPr>
        <sz val="9"/>
        <rFont val="HP Simplified"/>
        <family val="2"/>
      </rPr>
      <t>/cartridge</t>
    </r>
  </si>
  <si>
    <r>
      <t>m</t>
    </r>
    <r>
      <rPr>
        <vertAlign val="superscript"/>
        <sz val="9"/>
        <rFont val="HP Simplified"/>
        <family val="2"/>
      </rPr>
      <t>2</t>
    </r>
    <r>
      <rPr>
        <sz val="9"/>
        <rFont val="HP Simplified"/>
        <family val="2"/>
      </rPr>
      <t>/cartridge</t>
    </r>
  </si>
  <si>
    <t xml:space="preserve">This document was created in July 2012, based on independent 3rd party data and testing, HP testing and internal review of competitive products (detailed Test Report available on request). While specifications are subject to change, reasonable effort was made to ensure the accuracy of this document on the date it was prepared. The analysis presented here is HP’s opinion and is intended for HP and HP Resellers’ Internal Use Only. Distribution of this document to end-users or to any other third parties is forbidden. © 2012 Hewlett-Packard Development Company, L.P. </t>
  </si>
  <si>
    <r>
      <t xml:space="preserve">Ink price per ml </t>
    </r>
    <r>
      <rPr>
        <vertAlign val="superscript"/>
        <sz val="12"/>
        <color indexed="8"/>
        <rFont val="HP Simplified bold"/>
      </rPr>
      <t>(3)</t>
    </r>
  </si>
  <si>
    <t>22" x 29,3"</t>
  </si>
  <si>
    <t>Pat2  Fast MD OFF</t>
  </si>
  <si>
    <t>Puigverd Fast MD OFF</t>
  </si>
  <si>
    <t>Pat2</t>
  </si>
  <si>
    <t>23.39" x 33.11"</t>
  </si>
  <si>
    <t>Puigverd</t>
  </si>
  <si>
    <t xml:space="preserve">Pat2 Normal </t>
  </si>
  <si>
    <t>Puigverd Normal</t>
  </si>
  <si>
    <t xml:space="preserve">N5 Normal </t>
  </si>
  <si>
    <t>Pat2  Fast MD ON</t>
  </si>
  <si>
    <t>Puigverd Fast MD ON</t>
  </si>
  <si>
    <t>Fast
(Economode ON)</t>
  </si>
  <si>
    <t>Width (mm)</t>
  </si>
  <si>
    <t>Length (m)</t>
  </si>
  <si>
    <r>
      <t>m</t>
    </r>
    <r>
      <rPr>
        <vertAlign val="superscript"/>
        <sz val="12"/>
        <color indexed="9"/>
        <rFont val="HP Simplified"/>
        <family val="2"/>
      </rPr>
      <t>2</t>
    </r>
    <r>
      <rPr>
        <sz val="12"/>
        <color indexed="9"/>
        <rFont val="HP Simplified"/>
        <family val="2"/>
      </rPr>
      <t xml:space="preserve">/ink cartr </t>
    </r>
    <r>
      <rPr>
        <vertAlign val="superscript"/>
        <sz val="12"/>
        <color indexed="9"/>
        <rFont val="HP Simplified"/>
        <family val="2"/>
      </rPr>
      <t>(2)</t>
    </r>
  </si>
  <si>
    <r>
      <t>ml/m</t>
    </r>
    <r>
      <rPr>
        <vertAlign val="superscript"/>
        <sz val="12"/>
        <color indexed="9"/>
        <rFont val="HP Simplified"/>
        <family val="2"/>
      </rPr>
      <t>2</t>
    </r>
  </si>
  <si>
    <r>
      <t>media price per m</t>
    </r>
    <r>
      <rPr>
        <vertAlign val="superscript"/>
        <sz val="12"/>
        <rFont val="HP Simplified bold"/>
      </rPr>
      <t>2</t>
    </r>
  </si>
  <si>
    <t>Plain Paper</t>
  </si>
  <si>
    <r>
      <t>€/m</t>
    </r>
    <r>
      <rPr>
        <vertAlign val="superscript"/>
        <sz val="12"/>
        <color indexed="9"/>
        <rFont val="HP Simplified"/>
        <family val="2"/>
      </rPr>
      <t>2</t>
    </r>
  </si>
  <si>
    <t>HP Universal Gloss Photo Paper</t>
  </si>
  <si>
    <t xml:space="preserve">HP Designjet T520 24-in ePrinter
- Cost per print - </t>
  </si>
  <si>
    <r>
      <t>All prices are estimated street prices
(1) One m</t>
    </r>
    <r>
      <rPr>
        <vertAlign val="superscript"/>
        <sz val="12"/>
        <rFont val="HP Simplified"/>
        <family val="2"/>
      </rPr>
      <t>2</t>
    </r>
    <r>
      <rPr>
        <sz val="12"/>
        <rFont val="HP Simplified"/>
        <family val="2"/>
      </rPr>
      <t xml:space="preserve"> of fully printed area.
(2) Number of m</t>
    </r>
    <r>
      <rPr>
        <vertAlign val="superscript"/>
        <sz val="12"/>
        <rFont val="HP Simplified"/>
        <family val="2"/>
      </rPr>
      <t>2</t>
    </r>
    <r>
      <rPr>
        <sz val="12"/>
        <rFont val="HP Simplified"/>
        <family val="2"/>
      </rPr>
      <t xml:space="preserve"> that can be printed with one set of 4 inks. Small figure ("min") is for the color most used, the first to be replaced.
(3) "Ink price per ml" considers the price of the cartridges (cartridge capacity is 80ml for Black and 29ml for the rest of the colors).  Formula used: Ink price / ml = cartridge price / cartridge capacity.</t>
    </r>
  </si>
  <si>
    <t>Ink 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</si>
</sst>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0.00\ &quot;€&quot;;\-#,##0.00\ &quot;€&quot;"/>
    <numFmt numFmtId="164" formatCode="_(* #,##0.00_);_(* \(#,##0.00\);_(* &quot;-&quot;??_);_(@_)"/>
    <numFmt numFmtId="165" formatCode="0.0000"/>
    <numFmt numFmtId="166" formatCode="0.000"/>
    <numFmt numFmtId="167" formatCode="0.0"/>
    <numFmt numFmtId="168" formatCode="&quot;$&quot;#,##0.00"/>
    <numFmt numFmtId="169" formatCode="[$€-2]\ #,##0.00"/>
    <numFmt numFmtId="170" formatCode="General\ &quot;ml&quot;"/>
    <numFmt numFmtId="171" formatCode="0.000\ &quot;sqft&quot;"/>
    <numFmt numFmtId="172" formatCode="0.000\ &quot;sqm&quot;"/>
    <numFmt numFmtId="173" formatCode="0.00\ &quot;in&quot;"/>
    <numFmt numFmtId="174" formatCode="#,##0.00\ &quot;€&quot;"/>
  </numFmts>
  <fonts count="29" x14ac:knownFonts="1">
    <font>
      <sz val="10"/>
      <name val="Arial"/>
    </font>
    <font>
      <sz val="10"/>
      <name val="Arial"/>
      <family val="2"/>
    </font>
    <font>
      <sz val="12"/>
      <name val="Futura Bk"/>
      <family val="2"/>
    </font>
    <font>
      <sz val="9"/>
      <name val="Futura Hv"/>
      <family val="2"/>
    </font>
    <font>
      <sz val="10"/>
      <color indexed="81"/>
      <name val="Futura Bk"/>
      <family val="2"/>
    </font>
    <font>
      <sz val="12"/>
      <color indexed="8"/>
      <name val="HP Simplified"/>
      <family val="2"/>
    </font>
    <font>
      <sz val="10"/>
      <name val="HP Simplified"/>
      <family val="2"/>
    </font>
    <font>
      <sz val="10"/>
      <color indexed="8"/>
      <name val="HP Simplified"/>
      <family val="2"/>
    </font>
    <font>
      <b/>
      <sz val="12"/>
      <color indexed="9"/>
      <name val="HP Simplified"/>
      <family val="2"/>
    </font>
    <font>
      <sz val="12"/>
      <name val="HP Simplified"/>
      <family val="2"/>
    </font>
    <font>
      <vertAlign val="superscript"/>
      <sz val="10"/>
      <name val="HP Simplified"/>
      <family val="2"/>
    </font>
    <font>
      <sz val="22"/>
      <name val="HP Simplified"/>
      <family val="2"/>
    </font>
    <font>
      <sz val="12"/>
      <color indexed="9"/>
      <name val="HP Simplified"/>
      <family val="2"/>
    </font>
    <font>
      <sz val="10"/>
      <color indexed="9"/>
      <name val="HP Simplified"/>
      <family val="2"/>
    </font>
    <font>
      <vertAlign val="superscript"/>
      <sz val="12"/>
      <color indexed="9"/>
      <name val="HP Simplified"/>
      <family val="2"/>
    </font>
    <font>
      <b/>
      <sz val="12"/>
      <color indexed="8"/>
      <name val="HP Simplified"/>
      <family val="2"/>
    </font>
    <font>
      <sz val="9"/>
      <color indexed="8"/>
      <name val="HP Simplified"/>
      <family val="2"/>
    </font>
    <font>
      <vertAlign val="superscript"/>
      <sz val="12"/>
      <name val="HP Simplified"/>
      <family val="2"/>
    </font>
    <font>
      <b/>
      <sz val="10"/>
      <name val="HP Simplified"/>
      <family val="2"/>
    </font>
    <font>
      <b/>
      <u/>
      <sz val="10"/>
      <name val="HP Simplified"/>
      <family val="2"/>
    </font>
    <font>
      <sz val="9"/>
      <name val="HP Simplified"/>
      <family val="2"/>
    </font>
    <font>
      <vertAlign val="superscript"/>
      <sz val="9"/>
      <name val="HP Simplified"/>
      <family val="2"/>
    </font>
    <font>
      <i/>
      <sz val="10"/>
      <name val="HP Simplified"/>
      <family val="2"/>
    </font>
    <font>
      <b/>
      <sz val="9"/>
      <name val="HP Simplified"/>
      <family val="2"/>
    </font>
    <font>
      <sz val="9"/>
      <color indexed="10"/>
      <name val="HP Simplified"/>
      <family val="2"/>
    </font>
    <font>
      <sz val="12"/>
      <color indexed="8"/>
      <name val="HP Simplified Bold"/>
    </font>
    <font>
      <sz val="12"/>
      <name val="HP Simplified bold"/>
    </font>
    <font>
      <vertAlign val="superscript"/>
      <sz val="12"/>
      <color indexed="8"/>
      <name val="HP Simplified bold"/>
    </font>
    <font>
      <vertAlign val="superscript"/>
      <sz val="12"/>
      <name val="HP Simplified bold"/>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6"/>
        <bgColor indexed="64"/>
      </patternFill>
    </fill>
    <fill>
      <patternFill patternType="solid">
        <fgColor theme="0"/>
        <bgColor indexed="64"/>
      </patternFill>
    </fill>
    <fill>
      <patternFill patternType="solid">
        <fgColor rgb="FF0071B4"/>
        <bgColor indexed="64"/>
      </patternFill>
    </fill>
    <fill>
      <patternFill patternType="solid">
        <fgColor rgb="FFEAEAEA"/>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1"/>
      </top>
      <bottom style="thin">
        <color indexed="61"/>
      </bottom>
      <diagonal/>
    </border>
    <border>
      <left/>
      <right/>
      <top/>
      <bottom style="medium">
        <color indexed="64"/>
      </bottom>
      <diagonal/>
    </border>
    <border>
      <left style="thin">
        <color indexed="61"/>
      </left>
      <right/>
      <top/>
      <bottom/>
      <diagonal/>
    </border>
    <border>
      <left/>
      <right style="thin">
        <color indexed="61"/>
      </right>
      <top/>
      <bottom/>
      <diagonal/>
    </border>
    <border>
      <left/>
      <right/>
      <top style="thin">
        <color indexed="17"/>
      </top>
      <bottom style="thin">
        <color indexed="17"/>
      </bottom>
      <diagonal/>
    </border>
    <border>
      <left/>
      <right/>
      <top/>
      <bottom style="thin">
        <color indexed="61"/>
      </bottom>
      <diagonal/>
    </border>
    <border>
      <left/>
      <right/>
      <top/>
      <bottom style="thin">
        <color rgb="FF0071B4"/>
      </bottom>
      <diagonal/>
    </border>
    <border>
      <left/>
      <right style="thin">
        <color indexed="61"/>
      </right>
      <top/>
      <bottom style="thin">
        <color rgb="FF0071B4"/>
      </bottom>
      <diagonal/>
    </border>
    <border>
      <left/>
      <right/>
      <top style="thin">
        <color rgb="FF0071B4"/>
      </top>
      <bottom style="thin">
        <color rgb="FF0071B4"/>
      </bottom>
      <diagonal/>
    </border>
    <border>
      <left/>
      <right style="thin">
        <color indexed="61"/>
      </right>
      <top style="thin">
        <color rgb="FF0071B4"/>
      </top>
      <bottom style="thin">
        <color rgb="FF0071B4"/>
      </bottom>
      <diagonal/>
    </border>
    <border>
      <left/>
      <right/>
      <top style="thin">
        <color indexed="61"/>
      </top>
      <bottom style="thin">
        <color rgb="FF0071B4"/>
      </bottom>
      <diagonal/>
    </border>
    <border>
      <left/>
      <right/>
      <top style="thin">
        <color rgb="FF0071B4"/>
      </top>
      <bottom/>
      <diagonal/>
    </border>
    <border>
      <left style="thin">
        <color indexed="61"/>
      </left>
      <right/>
      <top/>
      <bottom style="thin">
        <color rgb="FF0071B4"/>
      </bottom>
      <diagonal/>
    </border>
    <border>
      <left style="thin">
        <color indexed="61"/>
      </left>
      <right/>
      <top style="thin">
        <color rgb="FF0071B4"/>
      </top>
      <bottom/>
      <diagonal/>
    </border>
    <border>
      <left/>
      <right/>
      <top style="thin">
        <color rgb="FF0071B4"/>
      </top>
      <bottom style="thin">
        <color indexed="17"/>
      </bottom>
      <diagonal/>
    </border>
    <border>
      <left/>
      <right/>
      <top style="thin">
        <color indexed="17"/>
      </top>
      <bottom style="thin">
        <color rgb="FF0071B4"/>
      </bottom>
      <diagonal/>
    </border>
    <border>
      <left/>
      <right style="thin">
        <color indexed="61"/>
      </right>
      <top style="thin">
        <color rgb="FF0071B4"/>
      </top>
      <bottom/>
      <diagonal/>
    </border>
    <border>
      <left/>
      <right/>
      <top/>
      <bottom style="thin">
        <color rgb="FF0070C0"/>
      </bottom>
      <diagonal/>
    </border>
    <border>
      <left/>
      <right/>
      <top style="thin">
        <color indexed="61"/>
      </top>
      <bottom style="thin">
        <color rgb="FF0070C0"/>
      </bottom>
      <diagonal/>
    </border>
    <border>
      <left/>
      <right/>
      <top style="thin">
        <color rgb="FF0070C0"/>
      </top>
      <bottom style="thin">
        <color rgb="FF0070C0"/>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rgb="FF0070C0"/>
      </right>
      <top style="thin">
        <color indexed="64"/>
      </top>
      <bottom style="thin">
        <color indexed="64"/>
      </bottom>
      <diagonal/>
    </border>
    <border>
      <left style="thin">
        <color indexed="61"/>
      </left>
      <right/>
      <top/>
      <bottom style="thin">
        <color rgb="FF0070C0"/>
      </bottom>
      <diagonal/>
    </border>
    <border>
      <left/>
      <right/>
      <top style="thin">
        <color rgb="FF0070C0"/>
      </top>
      <bottom/>
      <diagonal/>
    </border>
    <border>
      <left/>
      <right style="thin">
        <color indexed="61"/>
      </right>
      <top/>
      <bottom style="thin">
        <color rgb="FF0070C0"/>
      </bottom>
      <diagonal/>
    </border>
  </borders>
  <cellStyleXfs count="2">
    <xf numFmtId="0" fontId="0" fillId="0" borderId="0"/>
    <xf numFmtId="164" fontId="1" fillId="0" borderId="0" applyFont="0" applyFill="0" applyBorder="0" applyAlignment="0" applyProtection="0"/>
  </cellStyleXfs>
  <cellXfs count="284">
    <xf numFmtId="0" fontId="0" fillId="0" borderId="0" xfId="0"/>
    <xf numFmtId="0" fontId="2" fillId="0" borderId="0" xfId="0" applyFont="1"/>
    <xf numFmtId="0" fontId="0" fillId="0" borderId="0" xfId="0" applyFill="1"/>
    <xf numFmtId="0" fontId="2" fillId="0" borderId="0" xfId="0" applyFont="1" applyBorder="1"/>
    <xf numFmtId="0" fontId="0" fillId="6" borderId="0" xfId="0" applyFill="1"/>
    <xf numFmtId="0" fontId="6" fillId="0" borderId="0" xfId="0" applyFont="1"/>
    <xf numFmtId="0" fontId="7" fillId="7" borderId="0" xfId="0" applyFont="1" applyFill="1" applyAlignment="1">
      <alignment horizontal="center" vertical="center"/>
    </xf>
    <xf numFmtId="0" fontId="7" fillId="7" borderId="0" xfId="0" applyFont="1" applyFill="1" applyAlignment="1">
      <alignment horizontal="left" vertical="center"/>
    </xf>
    <xf numFmtId="0" fontId="6" fillId="0" borderId="0" xfId="0" applyFont="1" applyFill="1"/>
    <xf numFmtId="0" fontId="6" fillId="0" borderId="0" xfId="0" applyFont="1" applyAlignment="1"/>
    <xf numFmtId="0" fontId="8" fillId="7" borderId="19" xfId="0" applyFont="1" applyFill="1" applyBorder="1" applyAlignment="1">
      <alignment horizontal="left"/>
    </xf>
    <xf numFmtId="0" fontId="9" fillId="0" borderId="0" xfId="0" applyFont="1" applyFill="1" applyAlignment="1">
      <alignment horizontal="left" vertical="top"/>
    </xf>
    <xf numFmtId="0" fontId="9" fillId="0" borderId="0" xfId="0" applyFont="1" applyFill="1" applyBorder="1" applyAlignment="1">
      <alignment horizontal="left" vertical="center"/>
    </xf>
    <xf numFmtId="0" fontId="5" fillId="0" borderId="0" xfId="0" applyFont="1" applyFill="1" applyBorder="1" applyAlignment="1">
      <alignment horizontal="left" vertical="center"/>
    </xf>
    <xf numFmtId="168" fontId="9" fillId="0" borderId="0" xfId="1" applyNumberFormat="1" applyFont="1" applyFill="1" applyBorder="1" applyAlignment="1">
      <alignment horizontal="left" vertical="center" indent="1"/>
    </xf>
    <xf numFmtId="0" fontId="10" fillId="0" borderId="0" xfId="0" applyFont="1" applyFill="1"/>
    <xf numFmtId="0" fontId="6" fillId="0" borderId="0" xfId="0" applyFont="1" applyAlignment="1">
      <alignment horizontal="left"/>
    </xf>
    <xf numFmtId="0" fontId="8" fillId="7" borderId="29" xfId="0" applyFont="1" applyFill="1" applyBorder="1" applyAlignment="1">
      <alignment horizontal="left"/>
    </xf>
    <xf numFmtId="0" fontId="8" fillId="7" borderId="0" xfId="0" applyFont="1" applyFill="1" applyBorder="1" applyAlignment="1">
      <alignment horizontal="left"/>
    </xf>
    <xf numFmtId="0" fontId="5" fillId="7" borderId="0" xfId="0" applyFont="1" applyFill="1" applyBorder="1" applyAlignment="1">
      <alignment horizontal="left" vertical="center"/>
    </xf>
    <xf numFmtId="1" fontId="9" fillId="4" borderId="27"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0" fontId="6" fillId="0" borderId="0" xfId="0" applyFont="1" applyBorder="1"/>
    <xf numFmtId="1" fontId="9" fillId="8" borderId="27" xfId="0" applyNumberFormat="1" applyFont="1" applyFill="1" applyBorder="1" applyAlignment="1">
      <alignment horizontal="center" vertical="center"/>
    </xf>
    <xf numFmtId="167" fontId="9" fillId="8" borderId="28" xfId="0" applyNumberFormat="1" applyFont="1" applyFill="1" applyBorder="1" applyAlignment="1">
      <alignment horizontal="center" vertical="center"/>
    </xf>
    <xf numFmtId="0" fontId="9" fillId="0" borderId="0" xfId="0" applyFont="1"/>
    <xf numFmtId="0" fontId="9" fillId="0" borderId="0" xfId="0" applyFont="1" applyBorder="1"/>
    <xf numFmtId="0" fontId="9" fillId="4" borderId="0" xfId="0" applyFont="1" applyFill="1" applyAlignment="1">
      <alignment vertical="center"/>
    </xf>
    <xf numFmtId="0" fontId="9" fillId="4" borderId="0" xfId="0" applyFont="1" applyFill="1" applyBorder="1"/>
    <xf numFmtId="0" fontId="5" fillId="4" borderId="0" xfId="0" applyFont="1" applyFill="1" applyBorder="1" applyAlignment="1"/>
    <xf numFmtId="0" fontId="9" fillId="7" borderId="0" xfId="0" applyFont="1" applyFill="1" applyBorder="1" applyAlignment="1"/>
    <xf numFmtId="0" fontId="9" fillId="7" borderId="0" xfId="0" applyFont="1" applyFill="1" applyBorder="1"/>
    <xf numFmtId="0" fontId="5" fillId="7" borderId="0" xfId="0" applyFont="1" applyFill="1" applyBorder="1" applyAlignment="1"/>
    <xf numFmtId="168" fontId="5" fillId="4" borderId="0" xfId="0" applyNumberFormat="1" applyFont="1" applyFill="1" applyBorder="1" applyAlignment="1">
      <alignment horizontal="left"/>
    </xf>
    <xf numFmtId="169" fontId="5" fillId="6" borderId="0" xfId="0" applyNumberFormat="1" applyFont="1" applyFill="1" applyBorder="1" applyAlignment="1">
      <alignment horizontal="right"/>
    </xf>
    <xf numFmtId="0" fontId="9" fillId="7" borderId="0" xfId="0" applyFont="1" applyFill="1" applyAlignment="1"/>
    <xf numFmtId="0" fontId="11" fillId="0" borderId="0" xfId="0" applyFont="1" applyFill="1" applyAlignment="1">
      <alignment vertical="center" wrapText="1"/>
    </xf>
    <xf numFmtId="0" fontId="11" fillId="4" borderId="24" xfId="0" applyFont="1" applyFill="1" applyBorder="1" applyAlignment="1">
      <alignment vertical="center" wrapText="1"/>
    </xf>
    <xf numFmtId="0" fontId="8" fillId="7" borderId="4" xfId="0" applyFont="1" applyFill="1" applyBorder="1" applyAlignment="1"/>
    <xf numFmtId="0" fontId="9" fillId="4" borderId="37" xfId="0" applyFont="1" applyFill="1" applyBorder="1" applyAlignment="1">
      <alignment horizontal="left" vertical="top"/>
    </xf>
    <xf numFmtId="0" fontId="8" fillId="7" borderId="36" xfId="0" applyFont="1" applyFill="1" applyBorder="1" applyAlignment="1"/>
    <xf numFmtId="0" fontId="9" fillId="5" borderId="38" xfId="0" applyFont="1" applyFill="1" applyBorder="1" applyAlignment="1">
      <alignment horizontal="left" vertical="top"/>
    </xf>
    <xf numFmtId="0" fontId="9" fillId="4" borderId="38" xfId="0" applyFont="1" applyFill="1" applyBorder="1" applyAlignment="1">
      <alignment horizontal="left" vertical="center"/>
    </xf>
    <xf numFmtId="0" fontId="8" fillId="7" borderId="38" xfId="0" applyFont="1" applyFill="1" applyBorder="1" applyAlignment="1"/>
    <xf numFmtId="0" fontId="9" fillId="0" borderId="38" xfId="0" applyFont="1" applyBorder="1" applyAlignment="1">
      <alignment horizontal="left" vertical="top"/>
    </xf>
    <xf numFmtId="170" fontId="5" fillId="6" borderId="37" xfId="0" applyNumberFormat="1" applyFont="1" applyFill="1" applyBorder="1" applyAlignment="1">
      <alignment horizontal="left" vertical="center" indent="1"/>
    </xf>
    <xf numFmtId="170" fontId="5" fillId="4" borderId="38" xfId="0" applyNumberFormat="1" applyFont="1" applyFill="1" applyBorder="1" applyAlignment="1">
      <alignment horizontal="left" vertical="center" indent="1"/>
    </xf>
    <xf numFmtId="170" fontId="5" fillId="6" borderId="38" xfId="0" applyNumberFormat="1" applyFont="1" applyFill="1" applyBorder="1" applyAlignment="1">
      <alignment horizontal="left" vertical="center" indent="1"/>
    </xf>
    <xf numFmtId="0" fontId="18" fillId="2" borderId="2" xfId="0" applyFont="1" applyFill="1" applyBorder="1" applyAlignment="1">
      <alignment horizontal="center"/>
    </xf>
    <xf numFmtId="0" fontId="18" fillId="0" borderId="0" xfId="0" applyFont="1" applyAlignment="1">
      <alignment horizontal="right"/>
    </xf>
    <xf numFmtId="0" fontId="6" fillId="3" borderId="1" xfId="0" applyFont="1" applyFill="1" applyBorder="1" applyAlignment="1">
      <alignment horizontal="right"/>
    </xf>
    <xf numFmtId="173" fontId="6" fillId="0" borderId="1" xfId="0" applyNumberFormat="1" applyFont="1" applyBorder="1"/>
    <xf numFmtId="173" fontId="6" fillId="0" borderId="42" xfId="0" applyNumberFormat="1" applyFont="1" applyBorder="1"/>
    <xf numFmtId="0" fontId="18" fillId="0" borderId="40" xfId="0" applyFont="1" applyFill="1" applyBorder="1" applyAlignment="1">
      <alignment horizontal="right"/>
    </xf>
    <xf numFmtId="0" fontId="18" fillId="0" borderId="0" xfId="0" applyFont="1" applyFill="1" applyBorder="1" applyAlignment="1">
      <alignment horizontal="right"/>
    </xf>
    <xf numFmtId="0" fontId="18" fillId="0" borderId="0" xfId="0" applyFont="1" applyFill="1" applyAlignment="1">
      <alignment horizontal="center"/>
    </xf>
    <xf numFmtId="0" fontId="18" fillId="0" borderId="1" xfId="0" applyFont="1" applyFill="1" applyBorder="1" applyAlignment="1">
      <alignment horizontal="right"/>
    </xf>
    <xf numFmtId="171" fontId="6" fillId="0" borderId="1" xfId="0" applyNumberFormat="1" applyFont="1" applyFill="1" applyBorder="1"/>
    <xf numFmtId="166" fontId="6" fillId="0" borderId="41" xfId="0" applyNumberFormat="1" applyFont="1" applyFill="1" applyBorder="1"/>
    <xf numFmtId="166" fontId="6" fillId="0" borderId="0" xfId="0" applyNumberFormat="1" applyFont="1" applyFill="1" applyBorder="1"/>
    <xf numFmtId="0" fontId="18" fillId="0" borderId="0" xfId="0" applyFont="1" applyFill="1" applyBorder="1" applyAlignment="1">
      <alignment horizontal="left"/>
    </xf>
    <xf numFmtId="0" fontId="6" fillId="0" borderId="0" xfId="0" applyFont="1" applyFill="1" applyBorder="1"/>
    <xf numFmtId="0" fontId="18" fillId="6" borderId="0" xfId="0" applyFont="1" applyFill="1" applyAlignment="1">
      <alignment horizontal="center"/>
    </xf>
    <xf numFmtId="0" fontId="18" fillId="0" borderId="0" xfId="0" applyFont="1" applyBorder="1" applyAlignment="1">
      <alignment horizontal="left"/>
    </xf>
    <xf numFmtId="172" fontId="6" fillId="0" borderId="1" xfId="0" applyNumberFormat="1" applyFont="1" applyFill="1" applyBorder="1"/>
    <xf numFmtId="166" fontId="6" fillId="0" borderId="40" xfId="0" applyNumberFormat="1" applyFont="1" applyFill="1" applyBorder="1"/>
    <xf numFmtId="0" fontId="18" fillId="0" borderId="0" xfId="0" applyFont="1" applyAlignment="1">
      <alignment horizontal="center"/>
    </xf>
    <xf numFmtId="172" fontId="6" fillId="0" borderId="3" xfId="0" applyNumberFormat="1" applyFont="1" applyFill="1" applyBorder="1"/>
    <xf numFmtId="0" fontId="18" fillId="0" borderId="0" xfId="0" applyFont="1" applyFill="1" applyAlignment="1">
      <alignment horizontal="right"/>
    </xf>
    <xf numFmtId="10" fontId="6" fillId="0" borderId="1" xfId="0" applyNumberFormat="1" applyFont="1" applyFill="1" applyBorder="1" applyAlignment="1">
      <alignment horizontal="right"/>
    </xf>
    <xf numFmtId="0" fontId="6" fillId="0" borderId="0" xfId="0" applyFont="1" applyFill="1" applyBorder="1" applyAlignment="1"/>
    <xf numFmtId="0" fontId="6" fillId="0" borderId="39" xfId="0" applyFont="1" applyBorder="1"/>
    <xf numFmtId="172" fontId="6" fillId="0" borderId="42" xfId="0" applyNumberFormat="1" applyFont="1" applyFill="1" applyBorder="1"/>
    <xf numFmtId="9" fontId="6" fillId="0" borderId="1" xfId="0" applyNumberFormat="1" applyFont="1" applyBorder="1" applyAlignment="1">
      <alignment horizontal="right"/>
    </xf>
    <xf numFmtId="0" fontId="6" fillId="0" borderId="0" xfId="0" applyFont="1" applyAlignment="1">
      <alignment horizontal="right"/>
    </xf>
    <xf numFmtId="165" fontId="6" fillId="0" borderId="0" xfId="0" applyNumberFormat="1" applyFont="1"/>
    <xf numFmtId="0" fontId="19" fillId="0" borderId="0" xfId="0" applyFont="1"/>
    <xf numFmtId="0" fontId="20" fillId="6" borderId="0" xfId="0" applyFont="1" applyFill="1"/>
    <xf numFmtId="0" fontId="20" fillId="6" borderId="10" xfId="0" applyFont="1" applyFill="1" applyBorder="1"/>
    <xf numFmtId="0" fontId="20" fillId="6" borderId="11" xfId="0" applyFont="1" applyFill="1" applyBorder="1"/>
    <xf numFmtId="1" fontId="6" fillId="6" borderId="13" xfId="0" applyNumberFormat="1" applyFont="1" applyFill="1" applyBorder="1" applyAlignment="1">
      <alignment horizontal="right"/>
    </xf>
    <xf numFmtId="2" fontId="20" fillId="6" borderId="13" xfId="0" applyNumberFormat="1" applyFont="1" applyFill="1" applyBorder="1" applyAlignment="1">
      <alignment horizontal="right"/>
    </xf>
    <xf numFmtId="1" fontId="20" fillId="6" borderId="13" xfId="0" applyNumberFormat="1" applyFont="1" applyFill="1" applyBorder="1" applyAlignment="1">
      <alignment horizontal="right"/>
    </xf>
    <xf numFmtId="1" fontId="20" fillId="6" borderId="14" xfId="0" applyNumberFormat="1" applyFont="1" applyFill="1" applyBorder="1" applyAlignment="1">
      <alignment horizontal="right"/>
    </xf>
    <xf numFmtId="0" fontId="22" fillId="6" borderId="0" xfId="0" applyFont="1" applyFill="1"/>
    <xf numFmtId="166" fontId="20" fillId="6" borderId="12" xfId="0" applyNumberFormat="1" applyFont="1" applyFill="1" applyBorder="1" applyAlignment="1">
      <alignment horizontal="right"/>
    </xf>
    <xf numFmtId="0" fontId="6" fillId="6" borderId="0" xfId="0" applyFont="1" applyFill="1"/>
    <xf numFmtId="0" fontId="20" fillId="6" borderId="15" xfId="0" applyFont="1" applyFill="1" applyBorder="1"/>
    <xf numFmtId="0" fontId="20" fillId="6" borderId="16" xfId="0" applyFont="1" applyFill="1" applyBorder="1"/>
    <xf numFmtId="1" fontId="6" fillId="6" borderId="1" xfId="0" applyNumberFormat="1" applyFont="1" applyFill="1" applyBorder="1" applyAlignment="1">
      <alignment horizontal="right"/>
    </xf>
    <xf numFmtId="2" fontId="20" fillId="6" borderId="1" xfId="0" applyNumberFormat="1" applyFont="1" applyFill="1" applyBorder="1" applyAlignment="1">
      <alignment horizontal="right"/>
    </xf>
    <xf numFmtId="1" fontId="20" fillId="6" borderId="1" xfId="0" applyNumberFormat="1" applyFont="1" applyFill="1" applyBorder="1" applyAlignment="1">
      <alignment horizontal="right"/>
    </xf>
    <xf numFmtId="1" fontId="20" fillId="6" borderId="18" xfId="0" applyNumberFormat="1" applyFont="1" applyFill="1" applyBorder="1" applyAlignment="1">
      <alignment horizontal="right"/>
    </xf>
    <xf numFmtId="166" fontId="20" fillId="6" borderId="17" xfId="0" applyNumberFormat="1" applyFont="1" applyFill="1" applyBorder="1" applyAlignment="1">
      <alignment horizontal="right"/>
    </xf>
    <xf numFmtId="0" fontId="20" fillId="6" borderId="0" xfId="0" applyFont="1" applyFill="1" applyBorder="1"/>
    <xf numFmtId="166" fontId="20" fillId="6" borderId="0" xfId="0" applyNumberFormat="1" applyFont="1" applyFill="1" applyBorder="1"/>
    <xf numFmtId="1" fontId="23" fillId="6" borderId="0" xfId="0" applyNumberFormat="1" applyFont="1" applyFill="1" applyBorder="1" applyAlignment="1">
      <alignment horizontal="right"/>
    </xf>
    <xf numFmtId="2" fontId="20" fillId="6" borderId="0" xfId="0" applyNumberFormat="1" applyFont="1" applyFill="1" applyBorder="1"/>
    <xf numFmtId="1" fontId="20" fillId="6" borderId="0" xfId="0" applyNumberFormat="1" applyFont="1" applyFill="1" applyBorder="1"/>
    <xf numFmtId="0" fontId="9" fillId="6" borderId="0" xfId="0" applyFont="1" applyFill="1"/>
    <xf numFmtId="2" fontId="9" fillId="6" borderId="0" xfId="0" applyNumberFormat="1" applyFont="1" applyFill="1" applyBorder="1"/>
    <xf numFmtId="0" fontId="19" fillId="6" borderId="0" xfId="0" applyFont="1" applyFill="1"/>
    <xf numFmtId="0" fontId="20" fillId="6" borderId="5" xfId="0" applyFont="1" applyFill="1" applyBorder="1" applyAlignment="1">
      <alignment vertical="center"/>
    </xf>
    <xf numFmtId="0" fontId="20" fillId="6" borderId="6" xfId="0" applyFont="1" applyFill="1" applyBorder="1" applyAlignment="1">
      <alignment vertical="center"/>
    </xf>
    <xf numFmtId="0" fontId="20" fillId="6" borderId="7" xfId="0" applyFont="1" applyFill="1" applyBorder="1" applyAlignment="1">
      <alignment horizontal="center" vertical="center"/>
    </xf>
    <xf numFmtId="0" fontId="20" fillId="6" borderId="8"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0" xfId="0" applyFont="1" applyFill="1" applyAlignment="1">
      <alignment vertical="center"/>
    </xf>
    <xf numFmtId="0" fontId="3" fillId="6" borderId="0" xfId="0" applyFont="1" applyFill="1" applyAlignment="1">
      <alignment vertical="center"/>
    </xf>
    <xf numFmtId="0" fontId="26" fillId="4" borderId="0" xfId="0" applyFont="1" applyFill="1" applyAlignment="1">
      <alignment vertical="center"/>
    </xf>
    <xf numFmtId="0" fontId="26" fillId="4" borderId="0" xfId="0" applyFont="1" applyFill="1" applyBorder="1" applyAlignment="1"/>
    <xf numFmtId="0" fontId="26" fillId="4" borderId="0" xfId="0" applyFont="1" applyFill="1" applyBorder="1"/>
    <xf numFmtId="0" fontId="25" fillId="4" borderId="0" xfId="0" applyFont="1" applyFill="1" applyBorder="1" applyAlignment="1"/>
    <xf numFmtId="0" fontId="26" fillId="4" borderId="0" xfId="0" applyFont="1" applyFill="1" applyBorder="1" applyAlignment="1">
      <alignment horizontal="left"/>
    </xf>
    <xf numFmtId="0" fontId="8" fillId="7" borderId="29" xfId="0" applyFont="1" applyFill="1" applyBorder="1" applyAlignment="1">
      <alignment horizontal="center" vertical="center"/>
    </xf>
    <xf numFmtId="0" fontId="20" fillId="0" borderId="5" xfId="0" applyFont="1" applyFill="1" applyBorder="1" applyAlignment="1">
      <alignment vertical="center"/>
    </xf>
    <xf numFmtId="0" fontId="20" fillId="0" borderId="6" xfId="0" applyFont="1" applyFill="1" applyBorder="1" applyAlignment="1">
      <alignment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xf numFmtId="0" fontId="20" fillId="0" borderId="11" xfId="0" applyFont="1" applyFill="1" applyBorder="1"/>
    <xf numFmtId="166" fontId="20" fillId="0" borderId="12" xfId="0" applyNumberFormat="1" applyFont="1" applyFill="1" applyBorder="1" applyAlignment="1">
      <alignment horizontal="right"/>
    </xf>
    <xf numFmtId="1" fontId="6" fillId="0" borderId="13" xfId="0" applyNumberFormat="1" applyFont="1" applyFill="1" applyBorder="1" applyAlignment="1">
      <alignment horizontal="right"/>
    </xf>
    <xf numFmtId="2" fontId="20" fillId="0" borderId="13" xfId="0" applyNumberFormat="1" applyFont="1" applyFill="1" applyBorder="1" applyAlignment="1">
      <alignment horizontal="right"/>
    </xf>
    <xf numFmtId="1" fontId="20" fillId="0" borderId="13" xfId="0" applyNumberFormat="1" applyFont="1" applyFill="1" applyBorder="1" applyAlignment="1">
      <alignment horizontal="right"/>
    </xf>
    <xf numFmtId="1" fontId="20" fillId="0" borderId="14" xfId="0" applyNumberFormat="1" applyFont="1" applyFill="1" applyBorder="1" applyAlignment="1">
      <alignment horizontal="right"/>
    </xf>
    <xf numFmtId="0" fontId="22" fillId="0" borderId="0" xfId="0" applyFont="1" applyFill="1"/>
    <xf numFmtId="0" fontId="20" fillId="0" borderId="15" xfId="0" applyFont="1" applyFill="1" applyBorder="1"/>
    <xf numFmtId="0" fontId="20" fillId="0" borderId="16" xfId="0" applyFont="1" applyFill="1" applyBorder="1"/>
    <xf numFmtId="166" fontId="20" fillId="0" borderId="17" xfId="0" applyNumberFormat="1" applyFont="1" applyFill="1" applyBorder="1" applyAlignment="1">
      <alignment horizontal="right"/>
    </xf>
    <xf numFmtId="1" fontId="6" fillId="0" borderId="1" xfId="0" applyNumberFormat="1" applyFont="1" applyFill="1" applyBorder="1" applyAlignment="1">
      <alignment horizontal="right"/>
    </xf>
    <xf numFmtId="2" fontId="20" fillId="0" borderId="1" xfId="0" applyNumberFormat="1" applyFont="1" applyFill="1" applyBorder="1" applyAlignment="1">
      <alignment horizontal="right"/>
    </xf>
    <xf numFmtId="1" fontId="20" fillId="0" borderId="1" xfId="0" applyNumberFormat="1" applyFont="1" applyFill="1" applyBorder="1" applyAlignment="1">
      <alignment horizontal="right"/>
    </xf>
    <xf numFmtId="1" fontId="20" fillId="0" borderId="18" xfId="0" applyNumberFormat="1" applyFont="1" applyFill="1" applyBorder="1" applyAlignment="1">
      <alignment horizontal="right"/>
    </xf>
    <xf numFmtId="0" fontId="20" fillId="0" borderId="0" xfId="0" applyFont="1" applyFill="1" applyBorder="1"/>
    <xf numFmtId="166" fontId="20" fillId="0" borderId="0" xfId="0" applyNumberFormat="1" applyFont="1" applyFill="1" applyBorder="1"/>
    <xf numFmtId="1" fontId="23" fillId="0" borderId="0" xfId="0" applyNumberFormat="1" applyFont="1" applyFill="1" applyBorder="1" applyAlignment="1">
      <alignment horizontal="right"/>
    </xf>
    <xf numFmtId="2" fontId="20" fillId="0" borderId="0" xfId="0" applyNumberFormat="1" applyFont="1" applyFill="1" applyBorder="1"/>
    <xf numFmtId="1" fontId="20" fillId="0" borderId="0" xfId="0" applyNumberFormat="1" applyFont="1" applyFill="1" applyBorder="1"/>
    <xf numFmtId="0" fontId="13" fillId="7" borderId="0" xfId="0" applyFont="1" applyFill="1" applyBorder="1" applyAlignment="1">
      <alignment horizontal="left" vertical="center"/>
    </xf>
    <xf numFmtId="0" fontId="6" fillId="3" borderId="1" xfId="0" applyFont="1" applyFill="1" applyBorder="1" applyAlignment="1">
      <alignment horizontal="center"/>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43" xfId="0" applyFont="1" applyFill="1" applyBorder="1" applyAlignment="1">
      <alignment horizontal="center" vertical="center"/>
    </xf>
    <xf numFmtId="0" fontId="11" fillId="4" borderId="24" xfId="0" applyFont="1" applyFill="1" applyBorder="1" applyAlignment="1">
      <alignment horizontal="left" vertical="center" wrapText="1"/>
    </xf>
    <xf numFmtId="0" fontId="26" fillId="4" borderId="0" xfId="0" applyFont="1" applyFill="1" applyAlignment="1">
      <alignment horizontal="left" vertical="center"/>
    </xf>
    <xf numFmtId="0" fontId="5" fillId="7" borderId="0" xfId="0" applyFont="1" applyFill="1" applyBorder="1" applyAlignment="1">
      <alignment horizontal="left"/>
    </xf>
    <xf numFmtId="0" fontId="9" fillId="4" borderId="0" xfId="0" applyFont="1" applyFill="1" applyBorder="1" applyAlignment="1">
      <alignment horizontal="left"/>
    </xf>
    <xf numFmtId="0" fontId="9" fillId="7" borderId="0" xfId="0" applyFont="1" applyFill="1" applyAlignment="1">
      <alignment horizontal="left"/>
    </xf>
    <xf numFmtId="0" fontId="9" fillId="0" borderId="0" xfId="0" applyFont="1" applyAlignment="1">
      <alignment horizontal="left"/>
    </xf>
    <xf numFmtId="174" fontId="9" fillId="6" borderId="37" xfId="1" applyNumberFormat="1" applyFont="1" applyFill="1" applyBorder="1" applyAlignment="1">
      <alignment horizontal="left" vertical="center" indent="1"/>
    </xf>
    <xf numFmtId="174" fontId="9" fillId="6" borderId="38" xfId="1" applyNumberFormat="1" applyFont="1" applyFill="1" applyBorder="1" applyAlignment="1">
      <alignment horizontal="left" vertical="center" indent="1"/>
    </xf>
    <xf numFmtId="174" fontId="9" fillId="4" borderId="27" xfId="1" applyNumberFormat="1" applyFont="1" applyFill="1" applyBorder="1" applyAlignment="1">
      <alignment horizontal="left" vertical="center" indent="1"/>
    </xf>
    <xf numFmtId="174" fontId="9" fillId="8" borderId="27" xfId="1" applyNumberFormat="1" applyFont="1" applyFill="1" applyBorder="1" applyAlignment="1">
      <alignment horizontal="left" vertical="center" indent="1"/>
    </xf>
    <xf numFmtId="174" fontId="5" fillId="4" borderId="0" xfId="0" applyNumberFormat="1" applyFont="1" applyFill="1" applyBorder="1" applyAlignment="1">
      <alignment horizontal="left"/>
    </xf>
    <xf numFmtId="174" fontId="9" fillId="4" borderId="0" xfId="0" applyNumberFormat="1" applyFont="1" applyFill="1" applyBorder="1"/>
    <xf numFmtId="174" fontId="9" fillId="4" borderId="0" xfId="0" applyNumberFormat="1" applyFont="1" applyFill="1" applyBorder="1" applyAlignment="1">
      <alignment horizontal="left"/>
    </xf>
    <xf numFmtId="7" fontId="9" fillId="4" borderId="0" xfId="0" applyNumberFormat="1" applyFont="1" applyFill="1" applyBorder="1" applyAlignment="1">
      <alignment horizontal="left"/>
    </xf>
    <xf numFmtId="0" fontId="12" fillId="7" borderId="0" xfId="0" applyFont="1" applyFill="1" applyAlignment="1">
      <alignment horizontal="justify" wrapText="1"/>
    </xf>
    <xf numFmtId="0" fontId="9" fillId="4" borderId="0" xfId="0" applyFont="1" applyFill="1" applyAlignment="1">
      <alignment horizontal="justify" vertical="center" wrapText="1"/>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9" fillId="0" borderId="27" xfId="0" applyFont="1" applyBorder="1" applyAlignment="1">
      <alignment horizontal="left" vertical="top"/>
    </xf>
    <xf numFmtId="0" fontId="9" fillId="8" borderId="27" xfId="0" applyFont="1" applyFill="1" applyBorder="1" applyAlignment="1">
      <alignment horizontal="left" vertical="center"/>
    </xf>
    <xf numFmtId="0" fontId="9" fillId="4" borderId="27" xfId="0" applyFont="1" applyFill="1" applyBorder="1" applyAlignment="1">
      <alignment horizontal="left" vertical="top"/>
    </xf>
    <xf numFmtId="0" fontId="5" fillId="0" borderId="0" xfId="0" applyFont="1" applyFill="1" applyAlignment="1">
      <alignment horizontal="center" vertical="center"/>
    </xf>
    <xf numFmtId="0" fontId="6" fillId="0" borderId="0" xfId="0" applyFont="1" applyFill="1" applyAlignment="1"/>
    <xf numFmtId="0" fontId="6" fillId="0" borderId="0" xfId="0" applyFont="1" applyAlignment="1"/>
    <xf numFmtId="1" fontId="24" fillId="6" borderId="0" xfId="0" applyNumberFormat="1" applyFont="1" applyFill="1" applyBorder="1" applyAlignment="1">
      <alignment horizontal="center"/>
    </xf>
    <xf numFmtId="1" fontId="24" fillId="6" borderId="20" xfId="0" applyNumberFormat="1" applyFont="1" applyFill="1" applyBorder="1" applyAlignment="1">
      <alignment horizontal="center"/>
    </xf>
    <xf numFmtId="0" fontId="12" fillId="7" borderId="4" xfId="0" applyFont="1" applyFill="1" applyBorder="1" applyAlignment="1">
      <alignment horizontal="center" vertical="center"/>
    </xf>
    <xf numFmtId="0" fontId="13" fillId="7" borderId="4" xfId="0" applyFont="1" applyFill="1" applyBorder="1" applyAlignment="1">
      <alignment horizontal="center"/>
    </xf>
    <xf numFmtId="0" fontId="12" fillId="7" borderId="25" xfId="0" applyFont="1" applyFill="1" applyBorder="1" applyAlignment="1">
      <alignment horizontal="center" vertical="center"/>
    </xf>
    <xf numFmtId="0" fontId="13" fillId="7" borderId="25" xfId="0" applyFont="1" applyFill="1" applyBorder="1" applyAlignment="1">
      <alignment horizontal="center"/>
    </xf>
    <xf numFmtId="1" fontId="5" fillId="8" borderId="30" xfId="0" applyNumberFormat="1" applyFont="1" applyFill="1" applyBorder="1" applyAlignment="1">
      <alignment horizontal="center" vertical="center"/>
    </xf>
    <xf numFmtId="1" fontId="5" fillId="8" borderId="0" xfId="0" applyNumberFormat="1" applyFont="1" applyFill="1" applyBorder="1" applyAlignment="1">
      <alignment horizontal="center" vertical="center"/>
    </xf>
    <xf numFmtId="0" fontId="6" fillId="8" borderId="30" xfId="0" applyFont="1" applyFill="1" applyBorder="1" applyAlignment="1">
      <alignment horizontal="left" vertical="center"/>
    </xf>
    <xf numFmtId="0" fontId="6" fillId="8" borderId="0" xfId="0" applyFont="1" applyFill="1" applyBorder="1" applyAlignment="1">
      <alignment horizontal="left" vertical="center"/>
    </xf>
    <xf numFmtId="0" fontId="6" fillId="8" borderId="0" xfId="0" applyFont="1" applyFill="1" applyBorder="1" applyAlignment="1">
      <alignment horizontal="center" vertical="center"/>
    </xf>
    <xf numFmtId="0" fontId="6" fillId="7" borderId="32"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36" xfId="0" applyFont="1" applyFill="1" applyBorder="1" applyAlignment="1">
      <alignment horizontal="left" vertical="center"/>
    </xf>
    <xf numFmtId="0" fontId="6" fillId="4" borderId="44" xfId="0" applyFont="1" applyFill="1" applyBorder="1" applyAlignment="1">
      <alignment horizontal="left" vertical="center"/>
    </xf>
    <xf numFmtId="0" fontId="6" fillId="4" borderId="0" xfId="0" applyFont="1" applyFill="1" applyBorder="1" applyAlignment="1">
      <alignment horizontal="left" vertical="center"/>
    </xf>
    <xf numFmtId="0" fontId="11" fillId="4" borderId="24" xfId="0" applyFont="1" applyFill="1" applyBorder="1" applyAlignment="1">
      <alignment horizontal="center" vertical="center" wrapText="1"/>
    </xf>
    <xf numFmtId="4" fontId="5" fillId="6" borderId="0" xfId="0" applyNumberFormat="1" applyFont="1" applyFill="1" applyBorder="1" applyAlignment="1">
      <alignment horizontal="center" vertical="center"/>
    </xf>
    <xf numFmtId="4" fontId="5" fillId="6" borderId="25" xfId="0" applyNumberFormat="1" applyFont="1" applyFill="1" applyBorder="1" applyAlignment="1">
      <alignment horizontal="center" vertical="center"/>
    </xf>
    <xf numFmtId="4" fontId="5" fillId="8" borderId="30" xfId="0" applyNumberFormat="1" applyFont="1" applyFill="1" applyBorder="1" applyAlignment="1">
      <alignment horizontal="center" vertical="center"/>
    </xf>
    <xf numFmtId="4" fontId="5" fillId="8" borderId="36" xfId="0" applyNumberFormat="1" applyFont="1" applyFill="1" applyBorder="1" applyAlignment="1">
      <alignment horizontal="center" vertical="center"/>
    </xf>
    <xf numFmtId="9" fontId="5" fillId="6" borderId="0" xfId="0" applyNumberFormat="1" applyFont="1" applyFill="1" applyBorder="1" applyAlignment="1">
      <alignment horizontal="center" vertical="center"/>
    </xf>
    <xf numFmtId="0" fontId="5" fillId="8" borderId="30" xfId="0" applyFont="1" applyFill="1" applyBorder="1" applyAlignment="1">
      <alignment horizontal="left" vertical="center"/>
    </xf>
    <xf numFmtId="0" fontId="5" fillId="8" borderId="36" xfId="0" applyFont="1" applyFill="1" applyBorder="1" applyAlignment="1">
      <alignment horizontal="left" vertical="center"/>
    </xf>
    <xf numFmtId="0" fontId="5" fillId="4" borderId="22" xfId="0" applyFont="1" applyFill="1" applyBorder="1" applyAlignment="1">
      <alignment horizontal="left" vertical="center" wrapText="1"/>
    </xf>
    <xf numFmtId="0" fontId="5" fillId="4" borderId="26" xfId="0" applyFont="1" applyFill="1" applyBorder="1" applyAlignment="1">
      <alignment horizontal="left" vertical="center"/>
    </xf>
    <xf numFmtId="0" fontId="5" fillId="5" borderId="22" xfId="0" applyFont="1" applyFill="1" applyBorder="1" applyAlignment="1">
      <alignment horizontal="left" vertical="center" wrapText="1"/>
    </xf>
    <xf numFmtId="0" fontId="12" fillId="7" borderId="4" xfId="0" applyFont="1" applyFill="1" applyBorder="1" applyAlignment="1">
      <alignment horizontal="left" vertical="center"/>
    </xf>
    <xf numFmtId="0" fontId="12" fillId="7" borderId="25" xfId="0" applyFont="1" applyFill="1" applyBorder="1" applyAlignment="1">
      <alignment horizontal="left" vertical="center"/>
    </xf>
    <xf numFmtId="174" fontId="5" fillId="8" borderId="30" xfId="0" applyNumberFormat="1" applyFont="1" applyFill="1" applyBorder="1" applyAlignment="1">
      <alignment horizontal="center" vertical="center"/>
    </xf>
    <xf numFmtId="174" fontId="5" fillId="8" borderId="0" xfId="0" applyNumberFormat="1" applyFont="1" applyFill="1" applyBorder="1" applyAlignment="1">
      <alignment horizontal="center" vertical="center"/>
    </xf>
    <xf numFmtId="4" fontId="5" fillId="8" borderId="0" xfId="0"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6" fillId="4" borderId="25" xfId="0" applyFont="1" applyFill="1" applyBorder="1" applyAlignment="1">
      <alignment horizontal="left" vertical="center" wrapText="1"/>
    </xf>
    <xf numFmtId="1" fontId="5" fillId="6" borderId="0" xfId="0" applyNumberFormat="1" applyFont="1" applyFill="1" applyBorder="1" applyAlignment="1">
      <alignment horizontal="center" vertical="center"/>
    </xf>
    <xf numFmtId="1" fontId="5" fillId="8" borderId="36" xfId="0" applyNumberFormat="1" applyFont="1" applyFill="1" applyBorder="1" applyAlignment="1">
      <alignment horizontal="center" vertical="center"/>
    </xf>
    <xf numFmtId="0" fontId="6" fillId="8" borderId="0" xfId="0" applyFont="1" applyFill="1" applyBorder="1" applyAlignment="1">
      <alignment horizontal="left" vertical="center" wrapText="1"/>
    </xf>
    <xf numFmtId="0" fontId="6" fillId="8" borderId="25" xfId="0" applyFont="1" applyFill="1" applyBorder="1" applyAlignment="1">
      <alignment horizontal="left" vertical="center" wrapText="1"/>
    </xf>
    <xf numFmtId="0" fontId="5" fillId="6" borderId="22" xfId="0" applyFont="1" applyFill="1" applyBorder="1" applyAlignment="1">
      <alignment horizontal="left" vertical="center" wrapText="1"/>
    </xf>
    <xf numFmtId="0" fontId="5" fillId="6" borderId="26" xfId="0" applyFont="1" applyFill="1" applyBorder="1" applyAlignment="1">
      <alignment horizontal="left" vertical="center" wrapText="1"/>
    </xf>
    <xf numFmtId="0" fontId="5" fillId="5" borderId="26" xfId="0" applyFont="1" applyFill="1" applyBorder="1" applyAlignment="1">
      <alignment horizontal="left" vertical="center" wrapText="1"/>
    </xf>
    <xf numFmtId="0" fontId="6" fillId="7" borderId="21" xfId="0" applyFont="1" applyFill="1" applyBorder="1" applyAlignment="1">
      <alignment horizontal="left" vertical="center"/>
    </xf>
    <xf numFmtId="0" fontId="5" fillId="8" borderId="0" xfId="0" applyFont="1" applyFill="1" applyBorder="1" applyAlignment="1">
      <alignment horizontal="left" vertical="center"/>
    </xf>
    <xf numFmtId="1" fontId="5" fillId="6" borderId="44" xfId="0" applyNumberFormat="1" applyFont="1" applyFill="1" applyBorder="1" applyAlignment="1">
      <alignment horizontal="center" vertical="center"/>
    </xf>
    <xf numFmtId="174" fontId="5" fillId="6" borderId="0" xfId="0" applyNumberFormat="1" applyFont="1" applyFill="1" applyBorder="1" applyAlignment="1">
      <alignment horizontal="center" vertical="center"/>
    </xf>
    <xf numFmtId="0" fontId="6" fillId="7" borderId="0" xfId="0" applyFont="1" applyFill="1" applyBorder="1" applyAlignment="1">
      <alignment horizontal="center" vertical="center"/>
    </xf>
    <xf numFmtId="0" fontId="5" fillId="6" borderId="30" xfId="0" applyFont="1" applyFill="1" applyBorder="1" applyAlignment="1">
      <alignment horizontal="left" vertical="center"/>
    </xf>
    <xf numFmtId="0" fontId="5" fillId="6" borderId="0" xfId="0" applyFont="1" applyFill="1" applyBorder="1" applyAlignment="1">
      <alignment horizontal="left" vertical="center"/>
    </xf>
    <xf numFmtId="174" fontId="5" fillId="8" borderId="36" xfId="0" applyNumberFormat="1" applyFont="1" applyFill="1" applyBorder="1" applyAlignment="1">
      <alignment horizontal="center" vertical="center"/>
    </xf>
    <xf numFmtId="0" fontId="6" fillId="8" borderId="30" xfId="0" applyFont="1" applyFill="1" applyBorder="1" applyAlignment="1">
      <alignment horizontal="left" vertical="center" wrapText="1"/>
    </xf>
    <xf numFmtId="0" fontId="6" fillId="8" borderId="36" xfId="0" applyFont="1" applyFill="1" applyBorder="1" applyAlignment="1">
      <alignment horizontal="left" vertical="center" wrapText="1"/>
    </xf>
    <xf numFmtId="1" fontId="5" fillId="6" borderId="25" xfId="0" applyNumberFormat="1" applyFont="1" applyFill="1" applyBorder="1" applyAlignment="1">
      <alignment horizontal="center" vertical="center"/>
    </xf>
    <xf numFmtId="0" fontId="6" fillId="6" borderId="36" xfId="0" applyFont="1" applyFill="1" applyBorder="1" applyAlignment="1">
      <alignment horizontal="center" vertical="center"/>
    </xf>
    <xf numFmtId="174" fontId="5" fillId="8" borderId="25" xfId="0" applyNumberFormat="1" applyFont="1" applyFill="1" applyBorder="1" applyAlignment="1">
      <alignment horizontal="center" vertical="center"/>
    </xf>
    <xf numFmtId="174" fontId="5" fillId="6" borderId="30" xfId="0" applyNumberFormat="1" applyFont="1" applyFill="1" applyBorder="1" applyAlignment="1">
      <alignment horizontal="center" vertical="center"/>
    </xf>
    <xf numFmtId="0" fontId="6" fillId="4" borderId="30" xfId="0" applyFont="1" applyFill="1" applyBorder="1" applyAlignment="1">
      <alignment horizontal="left" vertical="center" wrapText="1"/>
    </xf>
    <xf numFmtId="1" fontId="5" fillId="6" borderId="30" xfId="0" applyNumberFormat="1" applyFont="1" applyFill="1" applyBorder="1" applyAlignment="1">
      <alignment horizontal="center" vertical="center"/>
    </xf>
    <xf numFmtId="0" fontId="6" fillId="4" borderId="0" xfId="0" applyFont="1" applyFill="1" applyBorder="1" applyAlignment="1">
      <alignment horizontal="center" vertical="center"/>
    </xf>
    <xf numFmtId="1" fontId="5" fillId="8" borderId="25" xfId="0" applyNumberFormat="1" applyFont="1" applyFill="1" applyBorder="1" applyAlignment="1">
      <alignment horizontal="center" vertical="center"/>
    </xf>
    <xf numFmtId="0" fontId="6" fillId="6" borderId="0" xfId="0" applyFont="1" applyFill="1" applyBorder="1" applyAlignment="1">
      <alignment horizontal="left" vertical="center"/>
    </xf>
    <xf numFmtId="0" fontId="6" fillId="6" borderId="36" xfId="0" applyFont="1" applyFill="1" applyBorder="1" applyAlignment="1">
      <alignment horizontal="left" vertical="center"/>
    </xf>
    <xf numFmtId="0" fontId="6" fillId="4" borderId="25" xfId="0" applyFont="1" applyFill="1" applyBorder="1" applyAlignment="1">
      <alignment horizontal="left" vertical="center"/>
    </xf>
    <xf numFmtId="174" fontId="5" fillId="6" borderId="25" xfId="0" applyNumberFormat="1" applyFont="1" applyFill="1" applyBorder="1" applyAlignment="1">
      <alignment horizontal="center" vertical="center"/>
    </xf>
    <xf numFmtId="174" fontId="5" fillId="6" borderId="44" xfId="0" applyNumberFormat="1" applyFont="1" applyFill="1" applyBorder="1" applyAlignment="1">
      <alignment horizontal="center" vertical="center"/>
    </xf>
    <xf numFmtId="9" fontId="5" fillId="6" borderId="30" xfId="0" applyNumberFormat="1" applyFont="1" applyFill="1" applyBorder="1" applyAlignment="1">
      <alignment horizontal="left" vertical="center"/>
    </xf>
    <xf numFmtId="9" fontId="5" fillId="6" borderId="0" xfId="0" applyNumberFormat="1" applyFont="1" applyFill="1" applyBorder="1" applyAlignment="1">
      <alignment horizontal="left" vertical="center"/>
    </xf>
    <xf numFmtId="9" fontId="5" fillId="6" borderId="36" xfId="0" applyNumberFormat="1" applyFont="1" applyFill="1" applyBorder="1" applyAlignment="1">
      <alignment horizontal="left" vertical="center"/>
    </xf>
    <xf numFmtId="0" fontId="13" fillId="7" borderId="4" xfId="0" applyFont="1" applyFill="1" applyBorder="1" applyAlignment="1">
      <alignment horizontal="left" vertical="center"/>
    </xf>
    <xf numFmtId="0" fontId="13" fillId="7" borderId="25" xfId="0" applyFont="1" applyFill="1" applyBorder="1" applyAlignment="1">
      <alignment horizontal="left" vertical="center"/>
    </xf>
    <xf numFmtId="4" fontId="5" fillId="6" borderId="36" xfId="0" applyNumberFormat="1" applyFont="1" applyFill="1" applyBorder="1" applyAlignment="1">
      <alignment horizontal="center" vertical="center"/>
    </xf>
    <xf numFmtId="174" fontId="5" fillId="6" borderId="36" xfId="0" applyNumberFormat="1" applyFont="1" applyFill="1" applyBorder="1" applyAlignment="1">
      <alignment horizontal="center" vertical="center"/>
    </xf>
    <xf numFmtId="0" fontId="12" fillId="0" borderId="44"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6" xfId="0" applyFont="1" applyFill="1" applyBorder="1" applyAlignment="1">
      <alignment horizontal="center" vertical="center"/>
    </xf>
    <xf numFmtId="4" fontId="5" fillId="6" borderId="44" xfId="0" applyNumberFormat="1" applyFont="1" applyFill="1" applyBorder="1" applyAlignment="1">
      <alignment horizontal="center" vertical="center"/>
    </xf>
    <xf numFmtId="9" fontId="5" fillId="6" borderId="25" xfId="0" applyNumberFormat="1" applyFont="1" applyFill="1" applyBorder="1" applyAlignment="1">
      <alignment horizontal="center" vertical="center"/>
    </xf>
    <xf numFmtId="9" fontId="5" fillId="6" borderId="30" xfId="0" applyNumberFormat="1" applyFont="1" applyFill="1" applyBorder="1" applyAlignment="1">
      <alignment horizontal="center" vertical="center"/>
    </xf>
    <xf numFmtId="9" fontId="5" fillId="6" borderId="36" xfId="0" applyNumberFormat="1" applyFont="1" applyFill="1" applyBorder="1" applyAlignment="1">
      <alignment horizontal="center" vertical="center"/>
    </xf>
    <xf numFmtId="9" fontId="25" fillId="4" borderId="33" xfId="0" applyNumberFormat="1" applyFont="1" applyFill="1" applyBorder="1" applyAlignment="1">
      <alignment horizontal="center" vertical="center" wrapText="1"/>
    </xf>
    <xf numFmtId="9" fontId="25" fillId="4" borderId="23" xfId="0" applyNumberFormat="1" applyFont="1" applyFill="1" applyBorder="1" applyAlignment="1">
      <alignment horizontal="center" vertical="center" wrapText="1"/>
    </xf>
    <xf numFmtId="9" fontId="25" fillId="4" borderId="34" xfId="0" applyNumberFormat="1" applyFont="1" applyFill="1" applyBorder="1" applyAlignment="1">
      <alignment horizontal="center" vertical="center" wrapText="1"/>
    </xf>
    <xf numFmtId="0" fontId="5" fillId="4" borderId="0" xfId="0" applyFont="1" applyFill="1" applyBorder="1" applyAlignment="1">
      <alignment horizontal="left" vertical="center"/>
    </xf>
    <xf numFmtId="9" fontId="5" fillId="4" borderId="30" xfId="0" applyNumberFormat="1" applyFont="1" applyFill="1" applyBorder="1" applyAlignment="1">
      <alignment horizontal="left" vertical="center"/>
    </xf>
    <xf numFmtId="9" fontId="5" fillId="6" borderId="25" xfId="0" applyNumberFormat="1" applyFont="1" applyFill="1" applyBorder="1" applyAlignment="1">
      <alignment horizontal="left" vertical="center"/>
    </xf>
    <xf numFmtId="0" fontId="5" fillId="8" borderId="22" xfId="0" applyFont="1" applyFill="1" applyBorder="1" applyAlignment="1">
      <alignment horizontal="left" vertical="center" wrapText="1"/>
    </xf>
    <xf numFmtId="0" fontId="5" fillId="8" borderId="26" xfId="0" applyFont="1" applyFill="1" applyBorder="1" applyAlignment="1">
      <alignment horizontal="left" vertical="center" wrapText="1"/>
    </xf>
    <xf numFmtId="0" fontId="5" fillId="4" borderId="35" xfId="0" applyFont="1" applyFill="1" applyBorder="1" applyAlignment="1">
      <alignment horizontal="left" vertical="center"/>
    </xf>
    <xf numFmtId="0" fontId="5" fillId="4" borderId="22" xfId="0" applyFont="1" applyFill="1" applyBorder="1" applyAlignment="1">
      <alignment horizontal="left" vertical="center"/>
    </xf>
    <xf numFmtId="0" fontId="5" fillId="6" borderId="45" xfId="0" applyFont="1" applyFill="1" applyBorder="1" applyAlignment="1">
      <alignment horizontal="left" vertical="center" wrapText="1"/>
    </xf>
    <xf numFmtId="0" fontId="26" fillId="0" borderId="3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5" xfId="0" applyFont="1" applyFill="1" applyBorder="1" applyAlignment="1">
      <alignment horizontal="center" vertical="center"/>
    </xf>
    <xf numFmtId="0" fontId="9" fillId="4" borderId="0" xfId="0" applyFont="1" applyFill="1" applyAlignment="1">
      <alignment horizontal="justify" vertical="center" wrapText="1"/>
    </xf>
    <xf numFmtId="0" fontId="6" fillId="7" borderId="32" xfId="0" applyFont="1" applyFill="1" applyBorder="1" applyAlignment="1">
      <alignment horizontal="left" vertical="center"/>
    </xf>
    <xf numFmtId="0" fontId="6" fillId="7" borderId="31" xfId="0" applyFont="1" applyFill="1" applyBorder="1" applyAlignment="1">
      <alignment horizontal="center" vertical="center"/>
    </xf>
    <xf numFmtId="0" fontId="9" fillId="7" borderId="24" xfId="0" applyFont="1" applyFill="1" applyBorder="1" applyAlignment="1">
      <alignment horizontal="center" vertical="center"/>
    </xf>
    <xf numFmtId="4" fontId="5" fillId="6" borderId="30" xfId="0" applyNumberFormat="1" applyFont="1" applyFill="1" applyBorder="1" applyAlignment="1">
      <alignment horizontal="center" vertical="center"/>
    </xf>
    <xf numFmtId="4" fontId="5" fillId="8" borderId="25" xfId="0" applyNumberFormat="1" applyFont="1" applyFill="1" applyBorder="1" applyAlignment="1">
      <alignment horizontal="center" vertical="center"/>
    </xf>
    <xf numFmtId="9" fontId="25" fillId="5" borderId="30"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25" fillId="5" borderId="25" xfId="0" applyNumberFormat="1" applyFont="1" applyFill="1" applyBorder="1" applyAlignment="1">
      <alignment horizontal="center" vertical="center" wrapText="1"/>
    </xf>
    <xf numFmtId="0" fontId="7" fillId="8" borderId="30" xfId="0" applyFont="1" applyFill="1" applyBorder="1" applyAlignment="1">
      <alignment horizontal="left" vertical="center" wrapText="1"/>
    </xf>
    <xf numFmtId="0" fontId="6" fillId="4" borderId="25" xfId="0" applyFont="1" applyFill="1" applyBorder="1" applyAlignment="1">
      <alignment horizontal="center" vertical="center"/>
    </xf>
    <xf numFmtId="0" fontId="6" fillId="6" borderId="25" xfId="0" applyFont="1" applyFill="1" applyBorder="1" applyAlignment="1">
      <alignment horizontal="left" vertical="center" wrapText="1"/>
    </xf>
    <xf numFmtId="0" fontId="12" fillId="7" borderId="0" xfId="0" applyFont="1" applyFill="1" applyAlignment="1">
      <alignment horizontal="justify" wrapText="1"/>
    </xf>
    <xf numFmtId="9" fontId="15" fillId="7" borderId="0" xfId="0" applyNumberFormat="1" applyFont="1" applyFill="1" applyBorder="1" applyAlignment="1">
      <alignment horizontal="center" vertical="center"/>
    </xf>
    <xf numFmtId="0" fontId="5" fillId="4" borderId="0" xfId="0" applyFont="1" applyFill="1" applyBorder="1" applyAlignment="1"/>
    <xf numFmtId="0" fontId="6" fillId="4" borderId="0" xfId="0" applyFont="1" applyFill="1" applyAlignment="1"/>
    <xf numFmtId="0" fontId="6" fillId="7" borderId="31" xfId="0" applyFont="1" applyFill="1" applyBorder="1" applyAlignment="1">
      <alignment horizontal="left" vertical="center"/>
    </xf>
    <xf numFmtId="0" fontId="5" fillId="4" borderId="30" xfId="0" applyFont="1" applyFill="1" applyBorder="1" applyAlignment="1">
      <alignment horizontal="left" vertical="center"/>
    </xf>
  </cellXfs>
  <cellStyles count="2">
    <cellStyle name="Comma" xfId="1" builtinId="3"/>
    <cellStyle name="Normal" xfId="0" builtinId="0"/>
  </cellStyles>
  <dxfs count="1">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CE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517AAF"/>
      <rgbColor rgb="00333399"/>
      <rgbColor rgb="00333333"/>
    </indexedColors>
    <mruColors>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9</xdr:col>
      <xdr:colOff>9525</xdr:colOff>
      <xdr:row>11</xdr:row>
      <xdr:rowOff>0</xdr:rowOff>
    </xdr:to>
    <xdr:sp macro="" textlink="">
      <xdr:nvSpPr>
        <xdr:cNvPr id="14337" name="Text Box 1"/>
        <xdr:cNvSpPr txBox="1">
          <a:spLocks noChangeArrowheads="1"/>
        </xdr:cNvSpPr>
      </xdr:nvSpPr>
      <xdr:spPr bwMode="auto">
        <a:xfrm>
          <a:off x="609600" y="476250"/>
          <a:ext cx="4886325" cy="1304925"/>
        </a:xfrm>
        <a:prstGeom prst="rect">
          <a:avLst/>
        </a:prstGeom>
        <a:solidFill>
          <a:srgbClr val="FFFFFF"/>
        </a:solidFill>
        <a:ln w="38100">
          <a:solidFill>
            <a:srgbClr val="0071B4"/>
          </a:solidFill>
          <a:miter lim="800000"/>
          <a:headEnd/>
          <a:tailEnd/>
        </a:ln>
      </xdr:spPr>
      <xdr:txBody>
        <a:bodyPr vertOverflow="clip" wrap="square" lIns="36576" tIns="22860" rIns="0" bIns="0" anchor="t" upright="1"/>
        <a:lstStyle/>
        <a:p>
          <a:pPr algn="l" rtl="0">
            <a:defRPr sz="1000"/>
          </a:pPr>
          <a:r>
            <a:rPr lang="en-US" sz="1400" b="0" i="0" strike="noStrike">
              <a:solidFill>
                <a:srgbClr val="000000"/>
              </a:solidFill>
              <a:latin typeface="HP Simplified Bold" pitchFamily="34" charset="0"/>
            </a:rPr>
            <a:t>How to use this tool:</a:t>
          </a:r>
          <a:endParaRPr lang="en-US" sz="1050" b="0" i="0" strike="noStrike">
            <a:solidFill>
              <a:srgbClr val="000000"/>
            </a:solidFill>
            <a:latin typeface="HP Simplified Bold" pitchFamily="34" charset="0"/>
          </a:endParaRPr>
        </a:p>
        <a:p>
          <a:pPr algn="l" rtl="0">
            <a:defRPr sz="1000"/>
          </a:pPr>
          <a:endParaRPr lang="en-US" sz="1050" b="0" i="0" strike="noStrike">
            <a:solidFill>
              <a:srgbClr val="000000"/>
            </a:solidFill>
            <a:latin typeface="HP Simplified" pitchFamily="34" charset="0"/>
          </a:endParaRPr>
        </a:p>
        <a:p>
          <a:pPr algn="l" rtl="0">
            <a:defRPr sz="1000"/>
          </a:pPr>
          <a:r>
            <a:rPr lang="en-US" sz="1050" b="0" i="0" strike="noStrike">
              <a:solidFill>
                <a:srgbClr val="000000"/>
              </a:solidFill>
              <a:latin typeface="HP Simplified" pitchFamily="34" charset="0"/>
            </a:rPr>
            <a:t>Introduce your own cartridges and printheads prices in the "Data Introduction" worksheet. </a:t>
          </a:r>
        </a:p>
        <a:p>
          <a:pPr algn="l" rtl="0">
            <a:defRPr sz="1000"/>
          </a:pPr>
          <a:r>
            <a:rPr lang="en-US" sz="1050" b="0" i="0" strike="noStrike">
              <a:solidFill>
                <a:srgbClr val="000000"/>
              </a:solidFill>
              <a:latin typeface="HP Simplified" pitchFamily="34" charset="0"/>
            </a:rPr>
            <a:t>The ink cost will automatically update in the "Results" worksheet.</a:t>
          </a:r>
        </a:p>
        <a:p>
          <a:pPr algn="l" rtl="0">
            <a:defRPr sz="1000"/>
          </a:pPr>
          <a:endParaRPr lang="en-US" sz="1050" b="0" i="0" strike="noStrike">
            <a:solidFill>
              <a:srgbClr val="000000"/>
            </a:solidFill>
            <a:latin typeface="HP Simplified"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9525</xdr:rowOff>
    </xdr:from>
    <xdr:to>
      <xdr:col>8</xdr:col>
      <xdr:colOff>0</xdr:colOff>
      <xdr:row>4</xdr:row>
      <xdr:rowOff>9525</xdr:rowOff>
    </xdr:to>
    <xdr:sp macro="" textlink="">
      <xdr:nvSpPr>
        <xdr:cNvPr id="1038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3"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4"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6"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520700</xdr:colOff>
      <xdr:row>55</xdr:row>
      <xdr:rowOff>1463675</xdr:rowOff>
    </xdr:from>
    <xdr:to>
      <xdr:col>7</xdr:col>
      <xdr:colOff>396875</xdr:colOff>
      <xdr:row>56</xdr:row>
      <xdr:rowOff>704850</xdr:rowOff>
    </xdr:to>
    <xdr:pic>
      <xdr:nvPicPr>
        <xdr:cNvPr id="16759" name="Picture 1" descr="hp sml_whi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5300" y="18799175"/>
          <a:ext cx="1196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27</xdr:row>
      <xdr:rowOff>104775</xdr:rowOff>
    </xdr:from>
    <xdr:to>
      <xdr:col>1</xdr:col>
      <xdr:colOff>1362075</xdr:colOff>
      <xdr:row>30</xdr:row>
      <xdr:rowOff>161925</xdr:rowOff>
    </xdr:to>
    <xdr:pic>
      <xdr:nvPicPr>
        <xdr:cNvPr id="16760" name="Picture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594" t="9677" r="24902" b="21640"/>
        <a:stretch>
          <a:fillRect/>
        </a:stretch>
      </xdr:blipFill>
      <xdr:spPr bwMode="auto">
        <a:xfrm>
          <a:off x="2362200" y="10096500"/>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356508</xdr:colOff>
      <xdr:row>19</xdr:row>
      <xdr:rowOff>128815</xdr:rowOff>
    </xdr:from>
    <xdr:to>
      <xdr:col>1</xdr:col>
      <xdr:colOff>1283607</xdr:colOff>
      <xdr:row>22</xdr:row>
      <xdr:rowOff>90715</xdr:rowOff>
    </xdr:to>
    <xdr:pic>
      <xdr:nvPicPr>
        <xdr:cNvPr id="16761" name="Picture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7059" t="27913" r="25098" b="15990"/>
        <a:stretch>
          <a:fillRect/>
        </a:stretch>
      </xdr:blipFill>
      <xdr:spPr bwMode="auto">
        <a:xfrm>
          <a:off x="2397579" y="5843815"/>
          <a:ext cx="927099" cy="696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304800</xdr:colOff>
      <xdr:row>41</xdr:row>
      <xdr:rowOff>85725</xdr:rowOff>
    </xdr:from>
    <xdr:to>
      <xdr:col>1</xdr:col>
      <xdr:colOff>1400175</xdr:colOff>
      <xdr:row>44</xdr:row>
      <xdr:rowOff>180975</xdr:rowOff>
    </xdr:to>
    <xdr:pic>
      <xdr:nvPicPr>
        <xdr:cNvPr id="16763" name="Picture 22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594" t="9677" r="24902" b="21640"/>
        <a:stretch>
          <a:fillRect/>
        </a:stretch>
      </xdr:blipFill>
      <xdr:spPr bwMode="auto">
        <a:xfrm>
          <a:off x="2343150" y="1346835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502105</xdr:colOff>
      <xdr:row>15</xdr:row>
      <xdr:rowOff>108857</xdr:rowOff>
    </xdr:from>
    <xdr:to>
      <xdr:col>1</xdr:col>
      <xdr:colOff>1061492</xdr:colOff>
      <xdr:row>18</xdr:row>
      <xdr:rowOff>149680</xdr:rowOff>
    </xdr:to>
    <xdr:pic>
      <xdr:nvPicPr>
        <xdr:cNvPr id="16764" name="Picture 3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570" t="8751" r="59134" b="34175"/>
        <a:stretch>
          <a:fillRect/>
        </a:stretch>
      </xdr:blipFill>
      <xdr:spPr bwMode="auto">
        <a:xfrm>
          <a:off x="2543176" y="4844143"/>
          <a:ext cx="559387" cy="775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31</xdr:row>
      <xdr:rowOff>152400</xdr:rowOff>
    </xdr:from>
    <xdr:to>
      <xdr:col>1</xdr:col>
      <xdr:colOff>1314450</xdr:colOff>
      <xdr:row>36</xdr:row>
      <xdr:rowOff>95250</xdr:rowOff>
    </xdr:to>
    <xdr:pic>
      <xdr:nvPicPr>
        <xdr:cNvPr id="16765" name="Picture 36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7570" t="8751" r="59134" b="34175"/>
        <a:stretch>
          <a:fillRect/>
        </a:stretch>
      </xdr:blipFill>
      <xdr:spPr bwMode="auto">
        <a:xfrm>
          <a:off x="2447925" y="11096625"/>
          <a:ext cx="9048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37</xdr:row>
      <xdr:rowOff>114300</xdr:rowOff>
    </xdr:from>
    <xdr:to>
      <xdr:col>1</xdr:col>
      <xdr:colOff>1419225</xdr:colOff>
      <xdr:row>40</xdr:row>
      <xdr:rowOff>161925</xdr:rowOff>
    </xdr:to>
    <xdr:pic>
      <xdr:nvPicPr>
        <xdr:cNvPr id="16768" name="Picture 87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62200" y="12430125"/>
          <a:ext cx="10953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431800</xdr:colOff>
      <xdr:row>0</xdr:row>
      <xdr:rowOff>0</xdr:rowOff>
    </xdr:from>
    <xdr:to>
      <xdr:col>9</xdr:col>
      <xdr:colOff>17770</xdr:colOff>
      <xdr:row>0</xdr:row>
      <xdr:rowOff>1287576</xdr:rowOff>
    </xdr:to>
    <xdr:pic>
      <xdr:nvPicPr>
        <xdr:cNvPr id="14" name="Picture 13"/>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10494" t="11111" r="10494" b="10802"/>
        <a:stretch/>
      </xdr:blipFill>
      <xdr:spPr>
        <a:xfrm>
          <a:off x="9398000" y="1485900"/>
          <a:ext cx="1313170" cy="1287576"/>
        </a:xfrm>
        <a:prstGeom prst="rect">
          <a:avLst/>
        </a:prstGeom>
      </xdr:spPr>
    </xdr:pic>
    <xdr:clientData/>
  </xdr:twoCellAnchor>
  <xdr:twoCellAnchor editAs="oneCell">
    <xdr:from>
      <xdr:col>1</xdr:col>
      <xdr:colOff>482601</xdr:colOff>
      <xdr:row>23</xdr:row>
      <xdr:rowOff>63500</xdr:rowOff>
    </xdr:from>
    <xdr:to>
      <xdr:col>1</xdr:col>
      <xdr:colOff>1079500</xdr:colOff>
      <xdr:row>24</xdr:row>
      <xdr:rowOff>438424</xdr:rowOff>
    </xdr:to>
    <xdr:pic>
      <xdr:nvPicPr>
        <xdr:cNvPr id="13" name="Picture 1"/>
        <xdr:cNvPicPr>
          <a:picLocks noChangeAspect="1"/>
        </xdr:cNvPicPr>
      </xdr:nvPicPr>
      <xdr:blipFill>
        <a:blip xmlns:r="http://schemas.openxmlformats.org/officeDocument/2006/relationships" r:embed="rId9" cstate="print"/>
        <a:srcRect/>
        <a:stretch>
          <a:fillRect/>
        </a:stretch>
      </xdr:blipFill>
      <xdr:spPr bwMode="auto">
        <a:xfrm>
          <a:off x="2523672" y="6758214"/>
          <a:ext cx="596899" cy="837567"/>
        </a:xfrm>
        <a:prstGeom prst="rect">
          <a:avLst/>
        </a:prstGeom>
        <a:noFill/>
        <a:ln w="9525">
          <a:noFill/>
          <a:miter lim="800000"/>
          <a:headEnd/>
          <a:tailEnd/>
        </a:ln>
      </xdr:spPr>
    </xdr:pic>
    <xdr:clientData/>
  </xdr:twoCellAnchor>
  <xdr:twoCellAnchor editAs="oneCell">
    <xdr:from>
      <xdr:col>1</xdr:col>
      <xdr:colOff>495300</xdr:colOff>
      <xdr:row>25</xdr:row>
      <xdr:rowOff>76200</xdr:rowOff>
    </xdr:from>
    <xdr:to>
      <xdr:col>1</xdr:col>
      <xdr:colOff>1055024</xdr:colOff>
      <xdr:row>26</xdr:row>
      <xdr:rowOff>407987</xdr:rowOff>
    </xdr:to>
    <xdr:pic>
      <xdr:nvPicPr>
        <xdr:cNvPr id="15" name="Picture 206" descr="Super2.JPG"/>
        <xdr:cNvPicPr>
          <a:picLocks noChangeAspect="1"/>
        </xdr:cNvPicPr>
      </xdr:nvPicPr>
      <xdr:blipFill>
        <a:blip xmlns:r="http://schemas.openxmlformats.org/officeDocument/2006/relationships" r:embed="rId10" cstate="print"/>
        <a:srcRect/>
        <a:stretch>
          <a:fillRect/>
        </a:stretch>
      </xdr:blipFill>
      <xdr:spPr bwMode="auto">
        <a:xfrm>
          <a:off x="2536371" y="7696200"/>
          <a:ext cx="559724" cy="794430"/>
        </a:xfrm>
        <a:prstGeom prst="rect">
          <a:avLst/>
        </a:prstGeom>
        <a:noFill/>
        <a:ln w="9525">
          <a:noFill/>
          <a:miter lim="800000"/>
          <a:headEnd/>
          <a:tailEnd/>
        </a:ln>
      </xdr:spPr>
    </xdr:pic>
    <xdr:clientData/>
  </xdr:twoCellAnchor>
  <xdr:twoCellAnchor editAs="oneCell">
    <xdr:from>
      <xdr:col>1</xdr:col>
      <xdr:colOff>280810</xdr:colOff>
      <xdr:row>10</xdr:row>
      <xdr:rowOff>121272</xdr:rowOff>
    </xdr:from>
    <xdr:to>
      <xdr:col>1</xdr:col>
      <xdr:colOff>1325839</xdr:colOff>
      <xdr:row>13</xdr:row>
      <xdr:rowOff>125788</xdr:rowOff>
    </xdr:to>
    <xdr:pic>
      <xdr:nvPicPr>
        <xdr:cNvPr id="16" name="Picture 1474" descr="puigverd.PNG"/>
        <xdr:cNvPicPr>
          <a:picLocks noChangeAspect="1"/>
        </xdr:cNvPicPr>
      </xdr:nvPicPr>
      <xdr:blipFill>
        <a:blip xmlns:r="http://schemas.openxmlformats.org/officeDocument/2006/relationships" r:embed="rId11" cstate="print"/>
        <a:srcRect/>
        <a:stretch>
          <a:fillRect/>
        </a:stretch>
      </xdr:blipFill>
      <xdr:spPr bwMode="auto">
        <a:xfrm>
          <a:off x="2321881" y="3631915"/>
          <a:ext cx="1045029" cy="739302"/>
        </a:xfrm>
        <a:prstGeom prst="rect">
          <a:avLst/>
        </a:prstGeom>
        <a:noFill/>
        <a:ln w="9525">
          <a:noFill/>
          <a:miter lim="800000"/>
          <a:headEnd/>
          <a:tailEnd/>
        </a:ln>
      </xdr:spPr>
    </xdr:pic>
    <xdr:clientData/>
  </xdr:twoCellAnchor>
  <xdr:twoCellAnchor editAs="oneCell">
    <xdr:from>
      <xdr:col>1</xdr:col>
      <xdr:colOff>312964</xdr:colOff>
      <xdr:row>4</xdr:row>
      <xdr:rowOff>88308</xdr:rowOff>
    </xdr:from>
    <xdr:to>
      <xdr:col>1</xdr:col>
      <xdr:colOff>1293684</xdr:colOff>
      <xdr:row>7</xdr:row>
      <xdr:rowOff>189290</xdr:rowOff>
    </xdr:to>
    <xdr:pic>
      <xdr:nvPicPr>
        <xdr:cNvPr id="17" name="Picture 188" descr="pat2.PNG"/>
        <xdr:cNvPicPr>
          <a:picLocks noChangeAspect="1"/>
        </xdr:cNvPicPr>
      </xdr:nvPicPr>
      <xdr:blipFill>
        <a:blip xmlns:r="http://schemas.openxmlformats.org/officeDocument/2006/relationships" r:embed="rId12" cstate="print"/>
        <a:srcRect/>
        <a:stretch>
          <a:fillRect/>
        </a:stretch>
      </xdr:blipFill>
      <xdr:spPr bwMode="auto">
        <a:xfrm>
          <a:off x="2354035" y="2129379"/>
          <a:ext cx="980720" cy="835768"/>
        </a:xfrm>
        <a:prstGeom prst="rect">
          <a:avLst/>
        </a:prstGeom>
        <a:noFill/>
        <a:ln w="9525">
          <a:noFill/>
          <a:miter lim="800000"/>
          <a:headEnd/>
          <a:tailEnd/>
        </a:ln>
      </xdr:spPr>
    </xdr:pic>
    <xdr:clientData/>
  </xdr:twoCellAnchor>
  <xdr:twoCellAnchor editAs="oneCell">
    <xdr:from>
      <xdr:col>0</xdr:col>
      <xdr:colOff>462643</xdr:colOff>
      <xdr:row>0</xdr:row>
      <xdr:rowOff>68036</xdr:rowOff>
    </xdr:from>
    <xdr:to>
      <xdr:col>0</xdr:col>
      <xdr:colOff>1528847</xdr:colOff>
      <xdr:row>0</xdr:row>
      <xdr:rowOff>1265465</xdr:rowOff>
    </xdr:to>
    <xdr:pic>
      <xdr:nvPicPr>
        <xdr:cNvPr id="18" name="Picture 17"/>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770" t="6302" r="14215" b="4237"/>
        <a:stretch/>
      </xdr:blipFill>
      <xdr:spPr>
        <a:xfrm>
          <a:off x="462643" y="68036"/>
          <a:ext cx="1066204" cy="119742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7" sqref="F17"/>
    </sheetView>
  </sheetViews>
  <sheetFormatPr defaultColWidth="9.140625" defaultRowHeight="12.75" x14ac:dyDescent="0.2"/>
  <sheetData/>
  <phoneticPr fontId="0" type="noConversion"/>
  <pageMargins left="0.78740157499999996" right="0.78740157499999996" top="0.984251969" bottom="0.984251969"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L27"/>
  <sheetViews>
    <sheetView showGridLines="0" zoomScale="90" zoomScaleNormal="90" workbookViewId="0">
      <selection activeCell="B31" sqref="B31"/>
    </sheetView>
  </sheetViews>
  <sheetFormatPr defaultColWidth="9.140625" defaultRowHeight="12.75" x14ac:dyDescent="0.2"/>
  <cols>
    <col min="1" max="2" width="23.28515625" style="5" customWidth="1"/>
    <col min="3" max="3" width="1.140625" style="5" customWidth="1"/>
    <col min="4" max="4" width="16.7109375" style="16" customWidth="1"/>
    <col min="5" max="5" width="29.42578125" style="5" customWidth="1"/>
    <col min="6" max="6" width="14.85546875" style="5" customWidth="1"/>
    <col min="7" max="12" width="9.140625" style="5"/>
  </cols>
  <sheetData>
    <row r="1" spans="1:12" x14ac:dyDescent="0.2">
      <c r="A1" s="169" t="s">
        <v>19</v>
      </c>
      <c r="B1" s="169"/>
      <c r="C1" s="169"/>
      <c r="D1" s="169"/>
      <c r="E1" s="169"/>
    </row>
    <row r="2" spans="1:12" ht="12.75" customHeight="1" x14ac:dyDescent="0.2">
      <c r="A2" s="169"/>
      <c r="B2" s="169"/>
      <c r="C2" s="169"/>
      <c r="D2" s="169"/>
      <c r="E2" s="169"/>
    </row>
    <row r="3" spans="1:12" x14ac:dyDescent="0.2">
      <c r="A3" s="169"/>
      <c r="B3" s="169"/>
      <c r="C3" s="169"/>
      <c r="D3" s="169"/>
      <c r="E3" s="169"/>
    </row>
    <row r="4" spans="1:12" s="2" customFormat="1" x14ac:dyDescent="0.2">
      <c r="A4" s="6"/>
      <c r="B4" s="6"/>
      <c r="C4" s="6"/>
      <c r="D4" s="7"/>
      <c r="E4" s="6"/>
      <c r="F4" s="8"/>
      <c r="G4" s="8"/>
      <c r="H4" s="8"/>
      <c r="I4" s="8"/>
      <c r="J4" s="8"/>
      <c r="K4" s="8"/>
      <c r="L4" s="8"/>
    </row>
    <row r="5" spans="1:12" s="2" customFormat="1" x14ac:dyDescent="0.2">
      <c r="A5" s="8"/>
      <c r="B5" s="170"/>
      <c r="C5" s="171"/>
      <c r="D5" s="171"/>
      <c r="E5" s="171"/>
      <c r="F5" s="8"/>
      <c r="G5" s="8"/>
      <c r="H5" s="8"/>
      <c r="I5" s="8"/>
      <c r="J5" s="8"/>
      <c r="K5" s="8"/>
      <c r="L5" s="8"/>
    </row>
    <row r="6" spans="1:12" ht="21" customHeight="1" x14ac:dyDescent="0.3">
      <c r="A6" s="10" t="s">
        <v>4</v>
      </c>
      <c r="B6" s="10"/>
      <c r="C6" s="38"/>
      <c r="D6" s="10" t="s">
        <v>3</v>
      </c>
      <c r="E6" s="10" t="s">
        <v>53</v>
      </c>
      <c r="G6" s="8"/>
      <c r="H6" s="8"/>
      <c r="I6" s="8"/>
      <c r="J6" s="8"/>
    </row>
    <row r="7" spans="1:12" ht="21" customHeight="1" x14ac:dyDescent="0.3">
      <c r="A7" s="39" t="s">
        <v>8</v>
      </c>
      <c r="B7" s="42" t="s">
        <v>22</v>
      </c>
      <c r="C7" s="40"/>
      <c r="D7" s="154">
        <v>20</v>
      </c>
      <c r="E7" s="45">
        <v>29</v>
      </c>
      <c r="G7" s="8"/>
      <c r="H7" s="8"/>
      <c r="I7" s="8"/>
      <c r="J7" s="8"/>
    </row>
    <row r="8" spans="1:12" ht="21" customHeight="1" x14ac:dyDescent="0.3">
      <c r="A8" s="41" t="s">
        <v>7</v>
      </c>
      <c r="B8" s="42" t="s">
        <v>22</v>
      </c>
      <c r="C8" s="43"/>
      <c r="D8" s="155">
        <v>20</v>
      </c>
      <c r="E8" s="46">
        <v>29</v>
      </c>
      <c r="G8" s="8"/>
      <c r="H8" s="8"/>
      <c r="I8" s="8"/>
      <c r="J8" s="8"/>
    </row>
    <row r="9" spans="1:12" ht="21" customHeight="1" x14ac:dyDescent="0.3">
      <c r="A9" s="44" t="s">
        <v>6</v>
      </c>
      <c r="B9" s="42" t="s">
        <v>22</v>
      </c>
      <c r="C9" s="43"/>
      <c r="D9" s="155">
        <v>20</v>
      </c>
      <c r="E9" s="47">
        <v>29</v>
      </c>
    </row>
    <row r="10" spans="1:12" ht="21" customHeight="1" x14ac:dyDescent="0.3">
      <c r="A10" s="41" t="s">
        <v>52</v>
      </c>
      <c r="B10" s="42" t="s">
        <v>22</v>
      </c>
      <c r="C10" s="43"/>
      <c r="D10" s="155">
        <v>43</v>
      </c>
      <c r="E10" s="46">
        <v>80</v>
      </c>
    </row>
    <row r="11" spans="1:12" ht="15" x14ac:dyDescent="0.2">
      <c r="A11" s="11"/>
      <c r="B11" s="12"/>
      <c r="C11" s="13"/>
      <c r="D11" s="14"/>
      <c r="E11" s="13"/>
    </row>
    <row r="12" spans="1:12" ht="15" x14ac:dyDescent="0.2">
      <c r="A12" s="11"/>
      <c r="B12" s="12"/>
      <c r="C12" s="13"/>
      <c r="D12" s="14"/>
      <c r="E12" s="13"/>
    </row>
    <row r="13" spans="1:12" ht="15" hidden="1" x14ac:dyDescent="0.2">
      <c r="A13" s="15"/>
    </row>
    <row r="14" spans="1:12" ht="15" hidden="1" x14ac:dyDescent="0.2">
      <c r="A14" s="15"/>
    </row>
    <row r="15" spans="1:12" hidden="1" x14ac:dyDescent="0.2"/>
    <row r="16" spans="1:12" hidden="1" x14ac:dyDescent="0.2"/>
    <row r="17" spans="1:10" hidden="1" x14ac:dyDescent="0.2"/>
    <row r="18" spans="1:10" hidden="1" x14ac:dyDescent="0.2"/>
    <row r="19" spans="1:10" hidden="1" x14ac:dyDescent="0.2"/>
    <row r="20" spans="1:10" hidden="1" x14ac:dyDescent="0.2"/>
    <row r="21" spans="1:10" hidden="1" x14ac:dyDescent="0.2"/>
    <row r="22" spans="1:10" hidden="1" x14ac:dyDescent="0.2"/>
    <row r="24" spans="1:10" ht="17.25" x14ac:dyDescent="0.3">
      <c r="A24" s="17" t="s">
        <v>35</v>
      </c>
      <c r="B24" s="17"/>
      <c r="C24" s="18"/>
      <c r="D24" s="115" t="s">
        <v>3</v>
      </c>
      <c r="E24" s="115" t="s">
        <v>84</v>
      </c>
      <c r="F24" s="115" t="s">
        <v>85</v>
      </c>
    </row>
    <row r="25" spans="1:10" ht="15" x14ac:dyDescent="0.2">
      <c r="A25" s="168" t="s">
        <v>91</v>
      </c>
      <c r="B25" s="168"/>
      <c r="C25" s="19"/>
      <c r="D25" s="156">
        <v>52.274999999999999</v>
      </c>
      <c r="E25" s="20">
        <v>610</v>
      </c>
      <c r="F25" s="21">
        <v>30.5</v>
      </c>
      <c r="H25" s="22"/>
      <c r="I25" s="22"/>
      <c r="J25" s="22"/>
    </row>
    <row r="26" spans="1:10" ht="15" x14ac:dyDescent="0.2">
      <c r="A26" s="167" t="s">
        <v>55</v>
      </c>
      <c r="B26" s="167"/>
      <c r="C26" s="19"/>
      <c r="D26" s="157">
        <v>25.423500000000001</v>
      </c>
      <c r="E26" s="23">
        <v>610</v>
      </c>
      <c r="F26" s="24">
        <v>45.7</v>
      </c>
      <c r="G26" s="22"/>
      <c r="H26" s="22"/>
      <c r="I26" s="22"/>
      <c r="J26" s="22"/>
    </row>
    <row r="27" spans="1:10" ht="15" x14ac:dyDescent="0.2">
      <c r="A27" s="166" t="s">
        <v>54</v>
      </c>
      <c r="B27" s="166"/>
      <c r="C27" s="19"/>
      <c r="D27" s="156">
        <v>15.274499999999998</v>
      </c>
      <c r="E27" s="20">
        <v>610</v>
      </c>
      <c r="F27" s="21">
        <v>45.7</v>
      </c>
      <c r="G27" s="22"/>
      <c r="H27" s="22"/>
      <c r="I27" s="22"/>
      <c r="J27" s="22"/>
    </row>
  </sheetData>
  <mergeCells count="5">
    <mergeCell ref="A27:B27"/>
    <mergeCell ref="A26:B26"/>
    <mergeCell ref="A25:B25"/>
    <mergeCell ref="A1:E3"/>
    <mergeCell ref="B5:E5"/>
  </mergeCells>
  <phoneticPr fontId="0" type="noConversion"/>
  <pageMargins left="0.78740157499999996" right="0.78740157499999996" top="0.984251969" bottom="0.984251969" header="0.5" footer="0.5"/>
  <pageSetup scale="83" orientation="portrait"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00"/>
  <sheetViews>
    <sheetView topLeftCell="C16" zoomScale="80" zoomScaleNormal="80" workbookViewId="0">
      <selection activeCell="B21" sqref="B21"/>
    </sheetView>
  </sheetViews>
  <sheetFormatPr defaultColWidth="9.140625" defaultRowHeight="12.75" x14ac:dyDescent="0.2"/>
  <cols>
    <col min="1" max="1" width="21.7109375" style="5" customWidth="1"/>
    <col min="2" max="2" width="4.5703125" style="5" customWidth="1"/>
    <col min="3" max="8" width="13" style="5" customWidth="1"/>
    <col min="9" max="9" width="10.5703125" style="5" customWidth="1"/>
    <col min="10" max="10" width="9.140625" style="5" customWidth="1"/>
    <col min="11" max="11" width="21.7109375" style="5" customWidth="1"/>
    <col min="12" max="12" width="4.5703125" style="5" customWidth="1"/>
    <col min="13" max="13" width="13" style="5" customWidth="1"/>
    <col min="14" max="14" width="17" style="5" customWidth="1"/>
    <col min="15" max="18" width="13" style="5" customWidth="1"/>
    <col min="19" max="19" width="10.85546875" style="5" bestFit="1" customWidth="1"/>
    <col min="20" max="20" width="10" style="5" customWidth="1"/>
    <col min="21" max="21" width="21.7109375" style="5" customWidth="1"/>
    <col min="22" max="22" width="4.5703125" style="5" customWidth="1"/>
    <col min="23" max="28" width="13" style="5" customWidth="1"/>
    <col min="29" max="30" width="9.140625" style="5"/>
    <col min="31" max="31" width="21.7109375" style="5" customWidth="1"/>
    <col min="32" max="32" width="4.5703125" style="5" customWidth="1"/>
    <col min="33" max="38" width="13" style="5" customWidth="1"/>
    <col min="39" max="39" width="9.140625" style="5"/>
  </cols>
  <sheetData>
    <row r="1" spans="1:26" ht="13.5" thickBot="1" x14ac:dyDescent="0.25">
      <c r="G1" s="22"/>
    </row>
    <row r="2" spans="1:26" ht="14.25" thickBot="1" x14ac:dyDescent="0.3">
      <c r="A2" s="48" t="s">
        <v>39</v>
      </c>
      <c r="C2" s="49" t="s">
        <v>12</v>
      </c>
      <c r="D2" s="50" t="s">
        <v>40</v>
      </c>
      <c r="E2" s="51">
        <v>22</v>
      </c>
      <c r="F2" s="52">
        <v>27.5</v>
      </c>
      <c r="G2" s="53"/>
      <c r="H2" s="22"/>
      <c r="K2" s="48" t="s">
        <v>58</v>
      </c>
      <c r="M2" s="49" t="s">
        <v>12</v>
      </c>
      <c r="N2" s="50" t="s">
        <v>59</v>
      </c>
      <c r="O2" s="51">
        <v>22.5</v>
      </c>
      <c r="P2" s="52">
        <v>31.82</v>
      </c>
      <c r="Q2" s="54"/>
      <c r="R2" s="22"/>
      <c r="U2" s="48" t="s">
        <v>75</v>
      </c>
      <c r="W2" s="49" t="s">
        <v>12</v>
      </c>
      <c r="X2" s="143" t="s">
        <v>76</v>
      </c>
      <c r="Y2" s="51">
        <v>23.39</v>
      </c>
      <c r="Z2" s="52">
        <v>33.11</v>
      </c>
    </row>
    <row r="3" spans="1:26" ht="13.5" x14ac:dyDescent="0.25">
      <c r="A3" s="55"/>
      <c r="B3" s="8"/>
      <c r="C3" s="8"/>
      <c r="D3" s="56" t="s">
        <v>56</v>
      </c>
      <c r="E3" s="57">
        <f>+CONVERT(E2,"in","ft")*CONVERT(F2,"in","ft")</f>
        <v>4.2013888888888884</v>
      </c>
      <c r="F3" s="58"/>
      <c r="G3" s="59"/>
      <c r="H3" s="60"/>
      <c r="I3" s="61"/>
      <c r="K3" s="62"/>
      <c r="N3" s="56" t="s">
        <v>56</v>
      </c>
      <c r="O3" s="57">
        <f>+CONVERT(O2,"in","ft")*CONVERT(P2,"in","ft")</f>
        <v>4.9718750000000007</v>
      </c>
      <c r="P3" s="58"/>
      <c r="Q3" s="59"/>
      <c r="R3" s="63"/>
      <c r="U3" s="62"/>
      <c r="X3" s="56" t="s">
        <v>56</v>
      </c>
      <c r="Y3" s="57">
        <f>+CONVERT(Y2,"in","ft")*CONVERT(Z2,"in","ft")</f>
        <v>5.378075694444445</v>
      </c>
      <c r="Z3" s="58"/>
    </row>
    <row r="4" spans="1:26" ht="13.5" x14ac:dyDescent="0.25">
      <c r="A4" s="55"/>
      <c r="B4" s="8"/>
      <c r="C4" s="8"/>
      <c r="D4" s="56" t="s">
        <v>57</v>
      </c>
      <c r="E4" s="64">
        <f>+CONVERT(E2,"in","m")*CONVERT(F2,"in","m")</f>
        <v>0.3903218</v>
      </c>
      <c r="F4" s="65"/>
      <c r="G4" s="59"/>
      <c r="H4" s="60"/>
      <c r="I4" s="61"/>
      <c r="K4" s="66"/>
      <c r="N4" s="56" t="s">
        <v>57</v>
      </c>
      <c r="O4" s="67">
        <f>+CONVERT(O2,"in","m")*CONVERT(P2,"in","m")</f>
        <v>0.46190230199999999</v>
      </c>
      <c r="P4" s="65"/>
      <c r="Q4" s="59"/>
      <c r="R4" s="63"/>
      <c r="U4" s="66"/>
      <c r="X4" s="56" t="s">
        <v>57</v>
      </c>
      <c r="Y4" s="67">
        <f>+CONVERT(Y2,"in","m")*CONVERT(Z2,"in","m")</f>
        <v>0.49963958136400005</v>
      </c>
      <c r="Z4" s="65"/>
    </row>
    <row r="5" spans="1:26" ht="13.5" x14ac:dyDescent="0.25">
      <c r="A5" s="55"/>
      <c r="B5" s="8"/>
      <c r="C5" s="68" t="s">
        <v>13</v>
      </c>
      <c r="D5" s="69">
        <v>0.28870000000000001</v>
      </c>
      <c r="E5" s="58"/>
      <c r="F5" s="59"/>
      <c r="G5" s="70"/>
      <c r="H5" s="70"/>
      <c r="I5" s="61"/>
      <c r="M5" s="49" t="s">
        <v>13</v>
      </c>
      <c r="N5" s="69">
        <v>0.20569999999999999</v>
      </c>
      <c r="Q5" s="9"/>
      <c r="W5" s="49" t="s">
        <v>13</v>
      </c>
      <c r="X5" s="69">
        <v>0.20569999999999999</v>
      </c>
    </row>
    <row r="6" spans="1:26" ht="13.5" thickBot="1" x14ac:dyDescent="0.25">
      <c r="E6" s="71"/>
      <c r="F6" s="71"/>
      <c r="I6" s="22"/>
      <c r="Q6" s="22"/>
      <c r="R6" s="22"/>
    </row>
    <row r="7" spans="1:26" ht="14.25" thickBot="1" x14ac:dyDescent="0.3">
      <c r="A7" s="48" t="s">
        <v>32</v>
      </c>
      <c r="C7" s="49" t="s">
        <v>12</v>
      </c>
      <c r="D7" s="50" t="s">
        <v>29</v>
      </c>
      <c r="E7" s="51">
        <v>28</v>
      </c>
      <c r="F7" s="52">
        <v>19.399999999999999</v>
      </c>
      <c r="G7" s="54"/>
      <c r="H7" s="22"/>
      <c r="I7" s="22"/>
      <c r="J7" s="22"/>
      <c r="K7" s="48" t="s">
        <v>31</v>
      </c>
      <c r="M7" s="49" t="s">
        <v>12</v>
      </c>
      <c r="N7" s="50" t="s">
        <v>65</v>
      </c>
      <c r="O7" s="51">
        <v>22.99</v>
      </c>
      <c r="P7" s="52">
        <v>30.83</v>
      </c>
      <c r="Q7" s="54"/>
      <c r="R7" s="22"/>
      <c r="U7" s="48" t="s">
        <v>77</v>
      </c>
      <c r="W7" s="49" t="s">
        <v>12</v>
      </c>
      <c r="X7" s="143" t="s">
        <v>76</v>
      </c>
      <c r="Y7" s="51">
        <v>23.39</v>
      </c>
      <c r="Z7" s="52">
        <v>33.11</v>
      </c>
    </row>
    <row r="8" spans="1:26" ht="13.5" x14ac:dyDescent="0.25">
      <c r="A8" s="62"/>
      <c r="D8" s="56" t="s">
        <v>56</v>
      </c>
      <c r="E8" s="57">
        <f>+CONVERT(E7,"in","ft")*CONVERT(F7,"in","ft")</f>
        <v>3.7722222222222226</v>
      </c>
      <c r="F8" s="58"/>
      <c r="G8" s="59"/>
      <c r="H8" s="63"/>
      <c r="I8" s="22"/>
      <c r="J8" s="22"/>
      <c r="K8" s="62"/>
      <c r="N8" s="56" t="s">
        <v>56</v>
      </c>
      <c r="O8" s="57">
        <f>+CONVERT(O7,"in","ft")*CONVERT(P7,"in","ft")</f>
        <v>4.9220951388888894</v>
      </c>
      <c r="P8" s="58"/>
      <c r="Q8" s="59"/>
      <c r="R8" s="63"/>
      <c r="U8" s="62"/>
      <c r="X8" s="56" t="s">
        <v>56</v>
      </c>
      <c r="Y8" s="57">
        <f>+CONVERT(Y7,"in","ft")*CONVERT(Z7,"in","ft")</f>
        <v>5.378075694444445</v>
      </c>
      <c r="Z8" s="58"/>
    </row>
    <row r="9" spans="1:26" ht="13.5" x14ac:dyDescent="0.25">
      <c r="A9" s="66"/>
      <c r="D9" s="56" t="s">
        <v>57</v>
      </c>
      <c r="E9" s="72">
        <f>+CONVERT(E7,"in","m")*CONVERT(F7,"in","m")</f>
        <v>0.350450912</v>
      </c>
      <c r="F9" s="59"/>
      <c r="G9" s="59"/>
      <c r="H9" s="63"/>
      <c r="K9" s="66"/>
      <c r="N9" s="56" t="s">
        <v>57</v>
      </c>
      <c r="O9" s="67">
        <f>+CONVERT(O7,"in","m")*CONVERT(P7,"in","m")</f>
        <v>0.45727760157199993</v>
      </c>
      <c r="P9" s="65"/>
      <c r="Q9" s="59"/>
      <c r="R9" s="63"/>
      <c r="U9" s="66"/>
      <c r="X9" s="56" t="s">
        <v>57</v>
      </c>
      <c r="Y9" s="67">
        <f>+CONVERT(Y7,"in","m")*CONVERT(Z7,"in","m")</f>
        <v>0.49963958136400005</v>
      </c>
      <c r="Z9" s="65"/>
    </row>
    <row r="10" spans="1:26" ht="13.5" x14ac:dyDescent="0.25">
      <c r="A10" s="66"/>
      <c r="C10" s="49" t="s">
        <v>13</v>
      </c>
      <c r="D10" s="73">
        <v>0.75</v>
      </c>
      <c r="F10" s="22"/>
      <c r="G10" s="9"/>
      <c r="M10" s="49" t="s">
        <v>13</v>
      </c>
      <c r="N10" s="69">
        <v>0.28079999999999999</v>
      </c>
      <c r="P10" s="22"/>
      <c r="Q10" s="9"/>
      <c r="W10" s="49" t="s">
        <v>13</v>
      </c>
      <c r="X10" s="69">
        <v>0.20569999999999999</v>
      </c>
    </row>
    <row r="11" spans="1:26" ht="13.5" thickBot="1" x14ac:dyDescent="0.25"/>
    <row r="12" spans="1:26" ht="14.25" thickBot="1" x14ac:dyDescent="0.3">
      <c r="A12" s="48" t="s">
        <v>23</v>
      </c>
      <c r="C12" s="49" t="s">
        <v>12</v>
      </c>
      <c r="D12" s="50" t="s">
        <v>72</v>
      </c>
      <c r="E12" s="51">
        <v>22</v>
      </c>
      <c r="F12" s="52">
        <v>29.3</v>
      </c>
      <c r="G12" s="54"/>
      <c r="H12" s="22"/>
      <c r="K12" s="48" t="s">
        <v>60</v>
      </c>
      <c r="M12" s="49" t="s">
        <v>12</v>
      </c>
      <c r="N12" s="50" t="s">
        <v>61</v>
      </c>
      <c r="O12" s="51">
        <v>22.446999999999999</v>
      </c>
      <c r="P12" s="52">
        <v>32.707000000000001</v>
      </c>
    </row>
    <row r="13" spans="1:26" ht="13.5" x14ac:dyDescent="0.25">
      <c r="A13" s="62"/>
      <c r="D13" s="56" t="s">
        <v>56</v>
      </c>
      <c r="E13" s="57">
        <f>+CONVERT(E12,"in","ft")*CONVERT(F12,"in","ft")</f>
        <v>4.4763888888888888</v>
      </c>
      <c r="F13" s="58"/>
      <c r="G13" s="59"/>
      <c r="H13" s="63"/>
      <c r="K13" s="62"/>
      <c r="N13" s="56" t="s">
        <v>56</v>
      </c>
      <c r="O13" s="57">
        <f>+CONVERT(O12,"in","ft")*CONVERT(P12,"in","ft")</f>
        <v>5.0984307569444445</v>
      </c>
      <c r="P13" s="58"/>
    </row>
    <row r="14" spans="1:26" ht="13.5" x14ac:dyDescent="0.25">
      <c r="A14" s="66"/>
      <c r="D14" s="56" t="s">
        <v>57</v>
      </c>
      <c r="E14" s="67">
        <f>+CONVERT(E12,"in","m")*CONVERT(F12,"in","m")</f>
        <v>0.41587013599999995</v>
      </c>
      <c r="F14" s="65"/>
      <c r="G14" s="59"/>
      <c r="H14" s="63"/>
      <c r="K14" s="66"/>
      <c r="N14" s="56" t="s">
        <v>57</v>
      </c>
      <c r="O14" s="67">
        <f>+CONVERT(O12,"in","m")*CONVERT(P12,"in","m")</f>
        <v>0.47365971654964001</v>
      </c>
      <c r="P14" s="65"/>
    </row>
    <row r="15" spans="1:26" ht="13.5" x14ac:dyDescent="0.25">
      <c r="C15" s="49" t="s">
        <v>13</v>
      </c>
      <c r="D15" s="69">
        <v>0.55759999999999998</v>
      </c>
      <c r="F15" s="22"/>
      <c r="G15" s="9"/>
      <c r="M15" s="49" t="s">
        <v>13</v>
      </c>
      <c r="N15" s="69">
        <v>0.28079999999999999</v>
      </c>
      <c r="P15" s="22"/>
    </row>
    <row r="17" spans="1:39" x14ac:dyDescent="0.2">
      <c r="C17" s="74"/>
      <c r="D17" s="75"/>
    </row>
    <row r="18" spans="1:39" x14ac:dyDescent="0.2">
      <c r="C18" s="74"/>
      <c r="D18" s="75"/>
    </row>
    <row r="20" spans="1:39" ht="13.5" x14ac:dyDescent="0.25">
      <c r="A20" s="76" t="s">
        <v>24</v>
      </c>
      <c r="B20" s="76">
        <v>5</v>
      </c>
    </row>
    <row r="21" spans="1:39" ht="13.5" thickBot="1" x14ac:dyDescent="0.25"/>
    <row r="22" spans="1:39" s="109" customFormat="1" ht="14.25" thickBot="1" x14ac:dyDescent="0.25">
      <c r="A22" s="116"/>
      <c r="B22" s="117"/>
      <c r="C22" s="104"/>
      <c r="D22" s="105"/>
      <c r="E22" s="105"/>
      <c r="F22" s="105"/>
      <c r="G22" s="105"/>
      <c r="H22" s="106"/>
      <c r="I22" s="107"/>
      <c r="J22" s="108"/>
      <c r="K22" s="102" t="s">
        <v>78</v>
      </c>
      <c r="L22" s="103"/>
      <c r="M22" s="104" t="s">
        <v>18</v>
      </c>
      <c r="N22" s="105" t="s">
        <v>11</v>
      </c>
      <c r="O22" s="105" t="s">
        <v>66</v>
      </c>
      <c r="P22" s="105" t="s">
        <v>67</v>
      </c>
      <c r="Q22" s="105" t="s">
        <v>68</v>
      </c>
      <c r="R22" s="106" t="s">
        <v>69</v>
      </c>
      <c r="S22" s="107"/>
      <c r="T22" s="108"/>
      <c r="U22" s="102" t="s">
        <v>73</v>
      </c>
      <c r="V22" s="103"/>
      <c r="W22" s="104" t="s">
        <v>18</v>
      </c>
      <c r="X22" s="105" t="s">
        <v>11</v>
      </c>
      <c r="Y22" s="105" t="s">
        <v>66</v>
      </c>
      <c r="Z22" s="105" t="s">
        <v>67</v>
      </c>
      <c r="AA22" s="105" t="s">
        <v>68</v>
      </c>
      <c r="AB22" s="106" t="s">
        <v>69</v>
      </c>
      <c r="AC22" s="107"/>
      <c r="AD22" s="108"/>
      <c r="AE22" s="102" t="s">
        <v>81</v>
      </c>
      <c r="AF22" s="117"/>
      <c r="AG22" s="104" t="s">
        <v>18</v>
      </c>
      <c r="AH22" s="105" t="s">
        <v>11</v>
      </c>
      <c r="AI22" s="105" t="s">
        <v>66</v>
      </c>
      <c r="AJ22" s="105" t="s">
        <v>67</v>
      </c>
      <c r="AK22" s="105" t="s">
        <v>68</v>
      </c>
      <c r="AL22" s="106" t="s">
        <v>69</v>
      </c>
      <c r="AM22" s="107"/>
    </row>
    <row r="23" spans="1:39" s="4" customFormat="1" x14ac:dyDescent="0.2">
      <c r="A23" s="78"/>
      <c r="B23" s="79"/>
      <c r="C23" s="85"/>
      <c r="D23" s="80"/>
      <c r="E23" s="81"/>
      <c r="F23" s="81"/>
      <c r="G23" s="82"/>
      <c r="H23" s="83"/>
      <c r="I23" s="84"/>
      <c r="J23" s="77"/>
      <c r="K23" s="78" t="s">
        <v>8</v>
      </c>
      <c r="L23" s="79" t="s">
        <v>16</v>
      </c>
      <c r="M23" s="85">
        <v>2.8999999999999915E-2</v>
      </c>
      <c r="N23" s="80">
        <f>'Data Introduction'!$E$7/Calculus!M23</f>
        <v>1000.000000000003</v>
      </c>
      <c r="O23" s="81">
        <f>M23/Calculus!$Y$3</f>
        <v>5.3922632643413574E-3</v>
      </c>
      <c r="P23" s="81">
        <f>M23/Calculus!$Y$4</f>
        <v>5.8041838720685107E-2</v>
      </c>
      <c r="Q23" s="82">
        <f>N23*Calculus!$Y$3</f>
        <v>5378.0756944444611</v>
      </c>
      <c r="R23" s="83">
        <f>N23*Calculus!$Y$4</f>
        <v>499.63958136400151</v>
      </c>
      <c r="S23" s="84" t="str">
        <f>IF(R23=MIN(R23:R26),"Minimum","")</f>
        <v/>
      </c>
      <c r="T23" s="86"/>
      <c r="U23" s="78" t="s">
        <v>8</v>
      </c>
      <c r="V23" s="79" t="s">
        <v>16</v>
      </c>
      <c r="W23" s="85">
        <v>2.4333333333333467E-2</v>
      </c>
      <c r="X23" s="80">
        <f>'Data Introduction'!$E$7/Calculus!W23</f>
        <v>1191.7808219178016</v>
      </c>
      <c r="Y23" s="81">
        <f>W23/Calculus!$Y$3</f>
        <v>4.524542739045085E-3</v>
      </c>
      <c r="Z23" s="81">
        <f>W23/Calculus!$Y$4</f>
        <v>4.8701772719655728E-2</v>
      </c>
      <c r="AA23" s="82">
        <f>X23*Calculus!$Y$3</f>
        <v>6409.4874714611524</v>
      </c>
      <c r="AB23" s="83">
        <f>X23*Calculus!$Y$4</f>
        <v>595.46087094065433</v>
      </c>
      <c r="AC23" s="84" t="str">
        <f>IF(AB23=MIN(AB23:AB26),"Minimum","")</f>
        <v/>
      </c>
      <c r="AD23" s="86"/>
      <c r="AE23" s="78" t="s">
        <v>8</v>
      </c>
      <c r="AF23" s="79" t="s">
        <v>16</v>
      </c>
      <c r="AG23" s="85">
        <v>1.1333333333333209E-2</v>
      </c>
      <c r="AH23" s="80">
        <f>'Data Introduction'!$E$7/Calculus!AG23</f>
        <v>2558.8235294117926</v>
      </c>
      <c r="AI23" s="81">
        <f>AG23/Calculus!$Y$3</f>
        <v>2.107321275719594E-3</v>
      </c>
      <c r="AJ23" s="81">
        <f>AG23/Calculus!$Y$4</f>
        <v>2.268301743107216E-2</v>
      </c>
      <c r="AK23" s="82">
        <f>AH23*Calculus!$Y$3</f>
        <v>13761.546629902112</v>
      </c>
      <c r="AL23" s="83">
        <f>AH23*Calculus!$Y$4</f>
        <v>1278.4895170196612</v>
      </c>
      <c r="AM23" s="84" t="str">
        <f>IF(AL23=MIN(AL23:AL26),"Minimum","")</f>
        <v/>
      </c>
    </row>
    <row r="24" spans="1:39" s="4" customFormat="1" x14ac:dyDescent="0.2">
      <c r="A24" s="87"/>
      <c r="B24" s="88"/>
      <c r="C24" s="93"/>
      <c r="D24" s="89"/>
      <c r="E24" s="90"/>
      <c r="F24" s="90"/>
      <c r="G24" s="91"/>
      <c r="H24" s="92"/>
      <c r="I24" s="84"/>
      <c r="J24" s="77"/>
      <c r="K24" s="87" t="s">
        <v>7</v>
      </c>
      <c r="L24" s="88" t="s">
        <v>15</v>
      </c>
      <c r="M24" s="93">
        <v>3.3333333333333569E-2</v>
      </c>
      <c r="N24" s="89">
        <f>'Data Introduction'!$E$8/Calculus!M24</f>
        <v>869.99999999999386</v>
      </c>
      <c r="O24" s="90">
        <f>M24/Calculus!$Y$3</f>
        <v>6.1980037521165649E-3</v>
      </c>
      <c r="P24" s="90">
        <f>M24/Calculus!$Y$4</f>
        <v>6.6714757150213438E-2</v>
      </c>
      <c r="Q24" s="91">
        <f>N24*Calculus!$Y$3</f>
        <v>4678.9258541666341</v>
      </c>
      <c r="R24" s="92">
        <f>N24*Calculus!$Y$4</f>
        <v>434.68643578667695</v>
      </c>
      <c r="S24" s="84" t="str">
        <f>IF(R24=MIN(R23:R26),"Minimum","")</f>
        <v/>
      </c>
      <c r="T24" s="86"/>
      <c r="U24" s="87" t="s">
        <v>7</v>
      </c>
      <c r="V24" s="88" t="s">
        <v>15</v>
      </c>
      <c r="W24" s="93">
        <v>2.5999999999999801E-2</v>
      </c>
      <c r="X24" s="89">
        <f>'Data Introduction'!$E$8/Calculus!W24</f>
        <v>1115.3846153846239</v>
      </c>
      <c r="Y24" s="90">
        <f>W24/Calculus!$Y$3</f>
        <v>4.8344429266508494E-3</v>
      </c>
      <c r="Z24" s="90">
        <f>W24/Calculus!$Y$4</f>
        <v>5.2037510577165713E-2</v>
      </c>
      <c r="AA24" s="91">
        <f>X24*Calculus!$Y$3</f>
        <v>5998.6228899573116</v>
      </c>
      <c r="AB24" s="92">
        <f>X24*Calculus!$Y$4</f>
        <v>557.29030229061971</v>
      </c>
      <c r="AC24" s="84" t="str">
        <f>IF(AB24=MIN(AB23:AB26),"Minimum","")</f>
        <v/>
      </c>
      <c r="AD24" s="86"/>
      <c r="AE24" s="87" t="s">
        <v>7</v>
      </c>
      <c r="AF24" s="88" t="s">
        <v>15</v>
      </c>
      <c r="AG24" s="93">
        <v>1.1999999999999981E-2</v>
      </c>
      <c r="AH24" s="89">
        <f>'Data Introduction'!$E$8/Calculus!AG24</f>
        <v>2416.6666666666706</v>
      </c>
      <c r="AI24" s="90">
        <f>AG24/Calculus!$Y$3</f>
        <v>2.2312813507619441E-3</v>
      </c>
      <c r="AJ24" s="90">
        <f>AG24/Calculus!$Y$4</f>
        <v>2.4017312574076629E-2</v>
      </c>
      <c r="AK24" s="91">
        <f>AH24*Calculus!$Y$3</f>
        <v>12997.016261574097</v>
      </c>
      <c r="AL24" s="92">
        <f>AH24*Calculus!$Y$4</f>
        <v>1207.4623216296688</v>
      </c>
      <c r="AM24" s="84" t="str">
        <f>IF(AL24=MIN(AL23:AL26),"Minimum","")</f>
        <v/>
      </c>
    </row>
    <row r="25" spans="1:39" s="4" customFormat="1" x14ac:dyDescent="0.2">
      <c r="A25" s="87"/>
      <c r="B25" s="88"/>
      <c r="C25" s="93"/>
      <c r="D25" s="89"/>
      <c r="E25" s="90"/>
      <c r="F25" s="90"/>
      <c r="G25" s="91"/>
      <c r="H25" s="92"/>
      <c r="I25" s="84"/>
      <c r="J25" s="77"/>
      <c r="K25" s="87" t="s">
        <v>6</v>
      </c>
      <c r="L25" s="88" t="s">
        <v>14</v>
      </c>
      <c r="M25" s="93">
        <v>2.3666666666666697E-2</v>
      </c>
      <c r="N25" s="89">
        <f>'Data Introduction'!$E$9/Calculus!M25</f>
        <v>1225.3521126760547</v>
      </c>
      <c r="O25" s="90">
        <f>M25/Calculus!$Y$3</f>
        <v>4.4005826640027357E-3</v>
      </c>
      <c r="P25" s="90">
        <f>M25/Calculus!$Y$4</f>
        <v>4.7367477576651267E-2</v>
      </c>
      <c r="Q25" s="91">
        <f>N25*Calculus!$Y$3</f>
        <v>6590.036414319241</v>
      </c>
      <c r="R25" s="92">
        <f>N25*Calculus!$Y$4</f>
        <v>612.23441660095705</v>
      </c>
      <c r="S25" s="84" t="str">
        <f>IF(R25=MIN(R23:R26),"Minimum","")</f>
        <v/>
      </c>
      <c r="T25" s="86"/>
      <c r="U25" s="87" t="s">
        <v>6</v>
      </c>
      <c r="V25" s="88" t="s">
        <v>14</v>
      </c>
      <c r="W25" s="93">
        <v>1.833333333333324E-2</v>
      </c>
      <c r="X25" s="89">
        <f>'Data Introduction'!$E$9/Calculus!W25</f>
        <v>1581.8181818181899</v>
      </c>
      <c r="Y25" s="90">
        <f>W25/Calculus!$Y$3</f>
        <v>3.4089020636640689E-3</v>
      </c>
      <c r="Z25" s="90">
        <f>W25/Calculus!$Y$4</f>
        <v>3.669311643261694E-2</v>
      </c>
      <c r="AA25" s="91">
        <f>X25*Calculus!$Y$3</f>
        <v>8507.137916666712</v>
      </c>
      <c r="AB25" s="92">
        <f>X25*Calculus!$Y$4</f>
        <v>790.33897415760418</v>
      </c>
      <c r="AC25" s="84" t="str">
        <f>IF(AB25=MIN(AB23:AB26),"Minimum","")</f>
        <v/>
      </c>
      <c r="AD25" s="86"/>
      <c r="AE25" s="87" t="s">
        <v>6</v>
      </c>
      <c r="AF25" s="88" t="s">
        <v>14</v>
      </c>
      <c r="AG25" s="93">
        <v>9.6666666666666377E-3</v>
      </c>
      <c r="AH25" s="89">
        <f>'Data Introduction'!$E$9/Calculus!AG25</f>
        <v>3000.0000000000091</v>
      </c>
      <c r="AI25" s="90">
        <f>AG25/Calculus!$Y$3</f>
        <v>1.7974210881137856E-3</v>
      </c>
      <c r="AJ25" s="90">
        <f>AG25/Calculus!$Y$4</f>
        <v>1.93472795735617E-2</v>
      </c>
      <c r="AK25" s="91">
        <f>AH25*Calculus!$Y$3</f>
        <v>16134.227083333384</v>
      </c>
      <c r="AL25" s="92">
        <f>AH25*Calculus!$Y$4</f>
        <v>1498.9187440920048</v>
      </c>
      <c r="AM25" s="84" t="str">
        <f>IF(AL25=MIN(AL23:AL26),"Minimum","")</f>
        <v/>
      </c>
    </row>
    <row r="26" spans="1:39" s="4" customFormat="1" x14ac:dyDescent="0.2">
      <c r="A26" s="87"/>
      <c r="B26" s="88"/>
      <c r="C26" s="93"/>
      <c r="D26" s="89"/>
      <c r="E26" s="90"/>
      <c r="F26" s="90"/>
      <c r="G26" s="91"/>
      <c r="H26" s="92"/>
      <c r="I26" s="84"/>
      <c r="J26" s="77"/>
      <c r="K26" s="87" t="s">
        <v>52</v>
      </c>
      <c r="L26" s="88" t="s">
        <v>62</v>
      </c>
      <c r="M26" s="93">
        <v>0.12400000000000044</v>
      </c>
      <c r="N26" s="89">
        <f>'Data Introduction'!$E$10/Calculus!M26</f>
        <v>645.16129032257834</v>
      </c>
      <c r="O26" s="90">
        <f>M26/Calculus!$Y$3</f>
        <v>2.3056573957873541E-2</v>
      </c>
      <c r="P26" s="90">
        <f>M26/Calculus!$Y$4</f>
        <v>0.24817889659879311</v>
      </c>
      <c r="Q26" s="91">
        <f>N26*Calculus!$Y$3</f>
        <v>3469.7262544802747</v>
      </c>
      <c r="R26" s="92">
        <f>N26*Calculus!$Y$4</f>
        <v>322.34811700903111</v>
      </c>
      <c r="S26" s="84" t="str">
        <f>IF(R26=MIN(R23:R26),"Minimum","")</f>
        <v>Minimum</v>
      </c>
      <c r="T26" s="86"/>
      <c r="U26" s="87" t="s">
        <v>52</v>
      </c>
      <c r="V26" s="88" t="s">
        <v>62</v>
      </c>
      <c r="W26" s="93">
        <v>0.11066666666666691</v>
      </c>
      <c r="X26" s="89">
        <f>'Data Introduction'!$E$10/Calculus!W26</f>
        <v>722.8915662650586</v>
      </c>
      <c r="Y26" s="90">
        <f>W26/Calculus!$Y$3</f>
        <v>2.0577372457026896E-2</v>
      </c>
      <c r="Z26" s="90">
        <f>W26/Calculus!$Y$4</f>
        <v>0.22149299373870754</v>
      </c>
      <c r="AA26" s="91">
        <f>X26*Calculus!$Y$3</f>
        <v>3887.7655622489874</v>
      </c>
      <c r="AB26" s="92">
        <f>X26*Calculus!$Y$4</f>
        <v>361.18523954024016</v>
      </c>
      <c r="AC26" s="84" t="str">
        <f>IF(AB26=MIN(AB23:AB26),"Minimum","")</f>
        <v>Minimum</v>
      </c>
      <c r="AD26" s="86"/>
      <c r="AE26" s="87" t="s">
        <v>52</v>
      </c>
      <c r="AF26" s="88" t="s">
        <v>62</v>
      </c>
      <c r="AG26" s="93">
        <v>3.9333333333333088E-2</v>
      </c>
      <c r="AH26" s="89">
        <f>'Data Introduction'!$E$10/Calculus!AG26</f>
        <v>2033.8983050847585</v>
      </c>
      <c r="AI26" s="90">
        <f>AG26/Calculus!$Y$3</f>
        <v>7.3136444274974491E-3</v>
      </c>
      <c r="AJ26" s="90">
        <f>AG26/Calculus!$Y$4</f>
        <v>7.8723413437250811E-2</v>
      </c>
      <c r="AK26" s="91">
        <f>AH26*Calculus!$Y$3</f>
        <v>10938.459039548092</v>
      </c>
      <c r="AL26" s="92">
        <f>AH26*Calculus!$Y$4</f>
        <v>1016.2160976894979</v>
      </c>
      <c r="AM26" s="84" t="str">
        <f>IF(AL26=MIN(AL23:AL26),"Minimum","")</f>
        <v>Minimum</v>
      </c>
    </row>
    <row r="27" spans="1:39" s="4" customFormat="1" ht="13.5" x14ac:dyDescent="0.25">
      <c r="A27" s="137"/>
      <c r="B27" s="137"/>
      <c r="C27" s="95"/>
      <c r="D27" s="96"/>
      <c r="E27" s="97"/>
      <c r="F27" s="97"/>
      <c r="G27" s="98"/>
      <c r="H27" s="98"/>
      <c r="I27" s="86"/>
      <c r="J27" s="77"/>
      <c r="K27" s="94"/>
      <c r="L27" s="94"/>
      <c r="M27" s="95">
        <f>SUM(M23:M26)</f>
        <v>0.21000000000000063</v>
      </c>
      <c r="N27" s="96"/>
      <c r="O27" s="97">
        <f>SUM(O23:O26)</f>
        <v>3.9047423638334203E-2</v>
      </c>
      <c r="P27" s="97">
        <f>SUM(P23:P26)</f>
        <v>0.42030297004634293</v>
      </c>
      <c r="Q27" s="98">
        <f>1/(SUM(IF(ISERR(Q23),0,1/Q23),IF(ISERR(Q24),0,1/Q24),IF(ISERR(Q25),0,1/Q25),IF(ISERR(Q26),0,1/Q26))/COUNT(Q23:Q26))</f>
        <v>4764.0838530397414</v>
      </c>
      <c r="R27" s="98">
        <f>1/(SUM(IF(ISERR(R23),0,1/R23),IF(ISERR(R24),0,1/R24),IF(ISERR(R25),0,1/R25),IF(ISERR(R26),0,1/R26))/COUNT(R23:R26))</f>
        <v>442.59787276230509</v>
      </c>
      <c r="S27" s="86" t="s">
        <v>17</v>
      </c>
      <c r="T27" s="86"/>
      <c r="U27" s="94"/>
      <c r="V27" s="94"/>
      <c r="W27" s="95">
        <f>SUM(W23:W26)</f>
        <v>0.17933333333333343</v>
      </c>
      <c r="X27" s="96"/>
      <c r="Y27" s="97">
        <f>SUM(Y23:Y26)</f>
        <v>3.3345260186386901E-2</v>
      </c>
      <c r="Z27" s="97">
        <f>SUM(Z23:Z26)</f>
        <v>0.35892539346814589</v>
      </c>
      <c r="AA27" s="98">
        <f>1/(SUM(IF(ISERR(AA23),0,1/AA23),IF(ISERR(AA24),0,1/AA24),IF(ISERR(AA25),0,1/AA25),IF(ISERR(AA26),0,1/AA26))/COUNT(AA23:AA26))</f>
        <v>5734.8562637250443</v>
      </c>
      <c r="AB27" s="98">
        <f>1/(SUM(IF(ISERR(AB23),0,1/AB23),IF(ISERR(AB24),0,1/AB24),IF(ISERR(AB25),0,1/AB25),IF(ISERR(AB26),0,1/AB26))/COUNT(AB23:AB26))</f>
        <v>532.78558086309829</v>
      </c>
      <c r="AC27" s="86" t="s">
        <v>17</v>
      </c>
      <c r="AD27" s="86"/>
      <c r="AE27" s="137"/>
      <c r="AF27" s="137"/>
      <c r="AG27" s="95">
        <f>SUM(AG23:AG26)</f>
        <v>7.2333333333332916E-2</v>
      </c>
      <c r="AH27" s="96"/>
      <c r="AI27" s="97">
        <f>SUM(AI23:AI26)</f>
        <v>1.3449668142092773E-2</v>
      </c>
      <c r="AJ27" s="97">
        <f>SUM(AJ23:AJ26)</f>
        <v>0.14477102301596129</v>
      </c>
      <c r="AK27" s="98">
        <f>1/(SUM(IF(ISERR(AK23),0,1/AK23),IF(ISERR(AK24),0,1/AK24),IF(ISERR(AK25),0,1/AK25),IF(ISERR(AK26),0,1/AK26))/COUNT(AK23:AK26))</f>
        <v>13200.989890084127</v>
      </c>
      <c r="AL27" s="98">
        <f>1/(SUM(IF(ISERR(AL23),0,1/AL23),IF(ISERR(AL24),0,1/AL24),IF(ISERR(AL25),0,1/AL25),IF(ISERR(AL26),0,1/AL26))/COUNT(AL23:AL26))</f>
        <v>1226.4120917980813</v>
      </c>
      <c r="AM27" s="86" t="s">
        <v>17</v>
      </c>
    </row>
    <row r="28" spans="1:39" ht="13.5" thickBot="1" x14ac:dyDescent="0.25"/>
    <row r="29" spans="1:39" s="109" customFormat="1" ht="14.25" thickBot="1" x14ac:dyDescent="0.25">
      <c r="A29" s="116"/>
      <c r="B29" s="117"/>
      <c r="C29" s="104"/>
      <c r="D29" s="105"/>
      <c r="E29" s="105"/>
      <c r="F29" s="105"/>
      <c r="G29" s="105"/>
      <c r="H29" s="106"/>
      <c r="I29" s="107"/>
      <c r="J29" s="108"/>
      <c r="K29" s="102" t="s">
        <v>79</v>
      </c>
      <c r="L29" s="103"/>
      <c r="M29" s="104" t="s">
        <v>18</v>
      </c>
      <c r="N29" s="105" t="s">
        <v>11</v>
      </c>
      <c r="O29" s="105" t="s">
        <v>66</v>
      </c>
      <c r="P29" s="105" t="s">
        <v>67</v>
      </c>
      <c r="Q29" s="105" t="s">
        <v>68</v>
      </c>
      <c r="R29" s="106" t="s">
        <v>69</v>
      </c>
      <c r="S29" s="107"/>
      <c r="T29" s="108"/>
      <c r="U29" s="102" t="s">
        <v>74</v>
      </c>
      <c r="V29" s="103"/>
      <c r="W29" s="104" t="s">
        <v>18</v>
      </c>
      <c r="X29" s="105" t="s">
        <v>11</v>
      </c>
      <c r="Y29" s="105" t="s">
        <v>66</v>
      </c>
      <c r="Z29" s="105" t="s">
        <v>67</v>
      </c>
      <c r="AA29" s="105" t="s">
        <v>68</v>
      </c>
      <c r="AB29" s="106" t="s">
        <v>69</v>
      </c>
      <c r="AC29" s="107"/>
      <c r="AD29" s="108"/>
      <c r="AE29" s="102" t="s">
        <v>82</v>
      </c>
      <c r="AF29" s="103"/>
      <c r="AG29" s="104" t="s">
        <v>18</v>
      </c>
      <c r="AH29" s="105" t="s">
        <v>11</v>
      </c>
      <c r="AI29" s="105" t="s">
        <v>66</v>
      </c>
      <c r="AJ29" s="105" t="s">
        <v>67</v>
      </c>
      <c r="AK29" s="105" t="s">
        <v>68</v>
      </c>
      <c r="AL29" s="106" t="s">
        <v>69</v>
      </c>
      <c r="AM29" s="107"/>
    </row>
    <row r="30" spans="1:39" s="4" customFormat="1" x14ac:dyDescent="0.2">
      <c r="A30" s="78"/>
      <c r="B30" s="79"/>
      <c r="C30" s="85"/>
      <c r="D30" s="80"/>
      <c r="E30" s="81"/>
      <c r="F30" s="81"/>
      <c r="G30" s="82"/>
      <c r="H30" s="83"/>
      <c r="I30" s="84"/>
      <c r="J30" s="77"/>
      <c r="K30" s="78" t="s">
        <v>8</v>
      </c>
      <c r="L30" s="79" t="s">
        <v>16</v>
      </c>
      <c r="M30" s="85">
        <v>6.0000000000002274E-3</v>
      </c>
      <c r="N30" s="80">
        <f>'Data Introduction'!$E$7/Calculus!M30</f>
        <v>4833.3333333331502</v>
      </c>
      <c r="O30" s="81">
        <f>M30/Calculus!$Y$8</f>
        <v>1.1156406753810161E-3</v>
      </c>
      <c r="P30" s="81">
        <f>M30/Calculus!$Y$9</f>
        <v>1.2008656287038788E-2</v>
      </c>
      <c r="Q30" s="82">
        <f>N30*Calculus!$Y$8</f>
        <v>25994.032523147165</v>
      </c>
      <c r="R30" s="83">
        <f>N30*Calculus!$Y$9</f>
        <v>2414.9246432592422</v>
      </c>
      <c r="S30" s="84" t="str">
        <f>IF(R30=MIN(R30:R33),"Minimum","")</f>
        <v/>
      </c>
      <c r="T30" s="86"/>
      <c r="U30" s="78" t="s">
        <v>8</v>
      </c>
      <c r="V30" s="79" t="s">
        <v>16</v>
      </c>
      <c r="W30" s="85">
        <v>1.6666666666668086E-3</v>
      </c>
      <c r="X30" s="80">
        <f>'Data Introduction'!$E$7/Calculus!W30</f>
        <v>17399.999999998519</v>
      </c>
      <c r="Y30" s="81">
        <f>W30/Calculus!$Y$8</f>
        <v>3.0990018760585245E-4</v>
      </c>
      <c r="Z30" s="81">
        <f>W30/Calculus!$Y$9</f>
        <v>3.3357378575109321E-3</v>
      </c>
      <c r="AA30" s="82">
        <f>X30*Calculus!$Y$8</f>
        <v>93578.51708332538</v>
      </c>
      <c r="AB30" s="83">
        <f>X30*Calculus!$Y$9</f>
        <v>8693.728715732861</v>
      </c>
      <c r="AC30" s="84" t="str">
        <f>IF(AB30=MIN(AB30:AB33),"Minimum","")</f>
        <v/>
      </c>
      <c r="AD30" s="86"/>
      <c r="AE30" s="78" t="s">
        <v>8</v>
      </c>
      <c r="AF30" s="79" t="s">
        <v>16</v>
      </c>
      <c r="AG30" s="85">
        <v>6.6666666666677094E-4</v>
      </c>
      <c r="AH30" s="80">
        <f>'Data Introduction'!$E$7/Calculus!AG30</f>
        <v>43499.999999993197</v>
      </c>
      <c r="AI30" s="81">
        <f>AG30/Calculus!$Y$8</f>
        <v>1.239600750423498E-4</v>
      </c>
      <c r="AJ30" s="81">
        <f>AG30/Calculus!$Y$9</f>
        <v>1.334295143004468E-3</v>
      </c>
      <c r="AK30" s="82">
        <f>AH30*Calculus!$Y$8</f>
        <v>233946.29270829677</v>
      </c>
      <c r="AL30" s="83">
        <f>AH30*Calculus!$Y$9</f>
        <v>21734.321789330603</v>
      </c>
      <c r="AM30" s="84" t="str">
        <f>IF(AL30=MIN(AL30:AL33),"Minimum","")</f>
        <v/>
      </c>
    </row>
    <row r="31" spans="1:39" s="4" customFormat="1" x14ac:dyDescent="0.2">
      <c r="A31" s="87"/>
      <c r="B31" s="88"/>
      <c r="C31" s="93"/>
      <c r="D31" s="89"/>
      <c r="E31" s="90"/>
      <c r="F31" s="90"/>
      <c r="G31" s="91"/>
      <c r="H31" s="92"/>
      <c r="I31" s="84"/>
      <c r="J31" s="77"/>
      <c r="K31" s="87" t="s">
        <v>7</v>
      </c>
      <c r="L31" s="88" t="s">
        <v>15</v>
      </c>
      <c r="M31" s="93">
        <v>6.0000000000002274E-3</v>
      </c>
      <c r="N31" s="89">
        <f>'Data Introduction'!$E$8/Calculus!M31</f>
        <v>4833.3333333331502</v>
      </c>
      <c r="O31" s="90">
        <f>M31/Calculus!$Y$8</f>
        <v>1.1156406753810161E-3</v>
      </c>
      <c r="P31" s="90">
        <f>M31/Calculus!$Y$9</f>
        <v>1.2008656287038788E-2</v>
      </c>
      <c r="Q31" s="91">
        <f>N31*Calculus!$Y$8</f>
        <v>25994.032523147165</v>
      </c>
      <c r="R31" s="92">
        <f>N31*Calculus!$Y$9</f>
        <v>2414.9246432592422</v>
      </c>
      <c r="S31" s="84" t="str">
        <f>IF(R31=MIN(R30:R33),"Minimum","")</f>
        <v/>
      </c>
      <c r="T31" s="86"/>
      <c r="U31" s="87" t="s">
        <v>7</v>
      </c>
      <c r="V31" s="88" t="s">
        <v>15</v>
      </c>
      <c r="W31" s="93">
        <v>3.9999999999999142E-3</v>
      </c>
      <c r="X31" s="89">
        <f>'Data Introduction'!$E$8/Calculus!W31</f>
        <v>7250.0000000001555</v>
      </c>
      <c r="Y31" s="90">
        <f>W31/Calculus!$Y$8</f>
        <v>7.4376045025396659E-4</v>
      </c>
      <c r="Z31" s="90">
        <f>W31/Calculus!$Y$9</f>
        <v>8.005770858025384E-3</v>
      </c>
      <c r="AA31" s="91">
        <f>X31*Calculus!$Y$8</f>
        <v>38991.048784723062</v>
      </c>
      <c r="AB31" s="92">
        <f>X31*Calculus!$Y$9</f>
        <v>3622.3869648890782</v>
      </c>
      <c r="AC31" s="84" t="str">
        <f>IF(AB31=MIN(AB30:AB33),"Minimum","")</f>
        <v/>
      </c>
      <c r="AD31" s="86"/>
      <c r="AE31" s="87" t="s">
        <v>7</v>
      </c>
      <c r="AF31" s="88" t="s">
        <v>15</v>
      </c>
      <c r="AG31" s="93">
        <v>3.9999999999999151E-3</v>
      </c>
      <c r="AH31" s="89">
        <f>'Data Introduction'!$E$8/Calculus!AG31</f>
        <v>7250.0000000001537</v>
      </c>
      <c r="AI31" s="90">
        <f>AG31/Calculus!$Y$8</f>
        <v>7.437604502539667E-4</v>
      </c>
      <c r="AJ31" s="90">
        <f>AG31/Calculus!$Y$9</f>
        <v>8.0057708580253857E-3</v>
      </c>
      <c r="AK31" s="91">
        <f>AH31*Calculus!$Y$8</f>
        <v>38991.048784723054</v>
      </c>
      <c r="AL31" s="92">
        <f>AH31*Calculus!$Y$9</f>
        <v>3622.3869648890773</v>
      </c>
      <c r="AM31" s="84" t="str">
        <f>IF(AL31=MIN(AL30:AL33),"Minimum","")</f>
        <v/>
      </c>
    </row>
    <row r="32" spans="1:39" s="4" customFormat="1" x14ac:dyDescent="0.2">
      <c r="A32" s="87"/>
      <c r="B32" s="88"/>
      <c r="C32" s="93"/>
      <c r="D32" s="89"/>
      <c r="E32" s="90"/>
      <c r="F32" s="90"/>
      <c r="G32" s="91"/>
      <c r="H32" s="92"/>
      <c r="I32" s="84"/>
      <c r="J32" s="77"/>
      <c r="K32" s="87" t="s">
        <v>6</v>
      </c>
      <c r="L32" s="88" t="s">
        <v>14</v>
      </c>
      <c r="M32" s="93">
        <v>8.0000000000000678E-3</v>
      </c>
      <c r="N32" s="89">
        <f>'Data Introduction'!$E$9/Calculus!M32</f>
        <v>3624.9999999999691</v>
      </c>
      <c r="O32" s="90">
        <f>M32/Calculus!$Y$8</f>
        <v>1.4875209005079776E-3</v>
      </c>
      <c r="P32" s="90">
        <f>M32/Calculus!$Y$9</f>
        <v>1.6011541716051247E-2</v>
      </c>
      <c r="Q32" s="91">
        <f>N32*Calculus!$Y$8</f>
        <v>19495.524392360945</v>
      </c>
      <c r="R32" s="92">
        <f>N32*Calculus!$Y$9</f>
        <v>1811.1934824444847</v>
      </c>
      <c r="S32" s="84" t="str">
        <f>IF(R32=MIN(R30:R33),"Minimum","")</f>
        <v/>
      </c>
      <c r="T32" s="86"/>
      <c r="U32" s="87" t="s">
        <v>6</v>
      </c>
      <c r="V32" s="88" t="s">
        <v>14</v>
      </c>
      <c r="W32" s="93">
        <v>4.333333333333419E-3</v>
      </c>
      <c r="X32" s="89">
        <f>'Data Introduction'!$E$9/Calculus!W32</f>
        <v>6692.3076923075596</v>
      </c>
      <c r="Y32" s="90">
        <f>W32/Calculus!$Y$8</f>
        <v>8.0574048777516368E-4</v>
      </c>
      <c r="Z32" s="90">
        <f>W32/Calculus!$Y$9</f>
        <v>8.6729184295278559E-3</v>
      </c>
      <c r="AA32" s="91">
        <f>X32*Calculus!$Y$8</f>
        <v>35991.737339742882</v>
      </c>
      <c r="AB32" s="92">
        <f>X32*Calculus!$Y$9</f>
        <v>3343.7418137436262</v>
      </c>
      <c r="AC32" s="84" t="str">
        <f>IF(AB32=MIN(AB30:AB33),"Minimum","")</f>
        <v/>
      </c>
      <c r="AD32" s="86"/>
      <c r="AE32" s="87" t="s">
        <v>6</v>
      </c>
      <c r="AF32" s="88" t="s">
        <v>14</v>
      </c>
      <c r="AG32" s="93">
        <v>2.3333333333333431E-3</v>
      </c>
      <c r="AH32" s="89">
        <f>'Data Introduction'!$E$9/Calculus!AG32</f>
        <v>12428.571428571377</v>
      </c>
      <c r="AI32" s="90">
        <f>AG32/Calculus!$Y$8</f>
        <v>4.3386026264815826E-4</v>
      </c>
      <c r="AJ32" s="90">
        <f>AG32/Calculus!$Y$9</f>
        <v>4.6700330005149272E-3</v>
      </c>
      <c r="AK32" s="91">
        <f>AH32*Calculus!$Y$8</f>
        <v>66841.797916666401</v>
      </c>
      <c r="AL32" s="92">
        <f>AH32*Calculus!$Y$9</f>
        <v>6209.8062255239747</v>
      </c>
      <c r="AM32" s="84" t="str">
        <f>IF(AL32=MIN(AL30:AL33),"Minimum","")</f>
        <v/>
      </c>
    </row>
    <row r="33" spans="1:39" s="4" customFormat="1" x14ac:dyDescent="0.2">
      <c r="A33" s="87"/>
      <c r="B33" s="88"/>
      <c r="C33" s="93"/>
      <c r="D33" s="89"/>
      <c r="E33" s="90"/>
      <c r="F33" s="90"/>
      <c r="G33" s="91"/>
      <c r="H33" s="92"/>
      <c r="I33" s="84"/>
      <c r="J33" s="77"/>
      <c r="K33" s="87" t="s">
        <v>52</v>
      </c>
      <c r="L33" s="88" t="s">
        <v>62</v>
      </c>
      <c r="M33" s="93">
        <v>0.13333333333333333</v>
      </c>
      <c r="N33" s="89">
        <f>'Data Introduction'!$E$10/Calculus!M33</f>
        <v>600</v>
      </c>
      <c r="O33" s="90">
        <f>M33/Calculus!$Y$8</f>
        <v>2.4792015008466083E-2</v>
      </c>
      <c r="P33" s="90">
        <f>M33/Calculus!$Y$9</f>
        <v>0.26685902860085187</v>
      </c>
      <c r="Q33" s="91">
        <f>N33*Calculus!$Y$8</f>
        <v>3226.845416666667</v>
      </c>
      <c r="R33" s="92">
        <f>N33*Calculus!$Y$9</f>
        <v>299.78374881840006</v>
      </c>
      <c r="S33" s="84" t="str">
        <f>IF(R33=MIN(R30:R33),"Minimum","")</f>
        <v>Minimum</v>
      </c>
      <c r="T33" s="86"/>
      <c r="U33" s="87" t="s">
        <v>52</v>
      </c>
      <c r="V33" s="88" t="s">
        <v>62</v>
      </c>
      <c r="W33" s="93">
        <v>0.11599999999999966</v>
      </c>
      <c r="X33" s="89">
        <f>'Data Introduction'!$E$10/Calculus!W33</f>
        <v>689.65517241379519</v>
      </c>
      <c r="Y33" s="90">
        <f>W33/Calculus!$Y$8</f>
        <v>2.156905305736543E-2</v>
      </c>
      <c r="Z33" s="90">
        <f>W33/Calculus!$Y$9</f>
        <v>0.23216735488274043</v>
      </c>
      <c r="AA33" s="91">
        <f>X33*Calculus!$Y$8</f>
        <v>3709.017720306525</v>
      </c>
      <c r="AB33" s="92">
        <f>X33*Calculus!$Y$9</f>
        <v>344.57902163034589</v>
      </c>
      <c r="AC33" s="84" t="str">
        <f>IF(AB33=MIN(AB30:AB33),"Minimum","")</f>
        <v>Minimum</v>
      </c>
      <c r="AD33" s="86"/>
      <c r="AE33" s="87" t="s">
        <v>52</v>
      </c>
      <c r="AF33" s="88" t="s">
        <v>62</v>
      </c>
      <c r="AG33" s="93">
        <v>3.8333333333333518E-2</v>
      </c>
      <c r="AH33" s="89">
        <f>'Data Introduction'!$E$10/Calculus!AG33</f>
        <v>2086.9565217391205</v>
      </c>
      <c r="AI33" s="90">
        <f>AG33/Calculus!$Y$8</f>
        <v>7.1277043149340332E-3</v>
      </c>
      <c r="AJ33" s="90">
        <f>AG33/Calculus!$Y$9</f>
        <v>7.6721970722745281E-2</v>
      </c>
      <c r="AK33" s="91">
        <f>AH33*Calculus!$Y$8</f>
        <v>11223.810144927484</v>
      </c>
      <c r="AL33" s="92">
        <f>AH33*Calculus!$Y$9</f>
        <v>1042.7260828466037</v>
      </c>
      <c r="AM33" s="84" t="str">
        <f>IF(AL33=MIN(AL30:AL33),"Minimum","")</f>
        <v>Minimum</v>
      </c>
    </row>
    <row r="34" spans="1:39" s="4" customFormat="1" ht="13.5" x14ac:dyDescent="0.25">
      <c r="A34" s="137"/>
      <c r="B34" s="137"/>
      <c r="C34" s="95"/>
      <c r="D34" s="96"/>
      <c r="E34" s="97"/>
      <c r="F34" s="97"/>
      <c r="G34" s="98"/>
      <c r="H34" s="98"/>
      <c r="I34" s="86"/>
      <c r="J34" s="77"/>
      <c r="K34" s="94"/>
      <c r="L34" s="94"/>
      <c r="M34" s="95">
        <f>SUM(M30:M33)</f>
        <v>0.15333333333333385</v>
      </c>
      <c r="N34" s="96"/>
      <c r="O34" s="97">
        <f>SUM(O30:O33)</f>
        <v>2.8510817259736091E-2</v>
      </c>
      <c r="P34" s="97">
        <f>SUM(P30:P33)</f>
        <v>0.30688788289098068</v>
      </c>
      <c r="Q34" s="98">
        <f>1/(SUM(IF(ISERR(Q30),0,1/Q30),IF(ISERR(Q31),0,1/Q31),IF(ISERR(Q32),0,1/Q32),IF(ISERR(Q33),0,1/Q33))/COUNT(Q30:Q33))</f>
        <v>9129.6114227641574</v>
      </c>
      <c r="R34" s="98">
        <f>1/(SUM(IF(ISERR(R30),0,1/R30),IF(ISERR(R31),0,1/R31),IF(ISERR(R32),0,1/R32),IF(ISERR(R33),0,1/R33))/COUNT(R30:R33))</f>
        <v>848.16865519351563</v>
      </c>
      <c r="S34" s="86" t="s">
        <v>17</v>
      </c>
      <c r="T34" s="86"/>
      <c r="U34" s="94"/>
      <c r="V34" s="94"/>
      <c r="W34" s="95">
        <f>SUM(W30:W33)</f>
        <v>0.12599999999999981</v>
      </c>
      <c r="X34" s="96"/>
      <c r="Y34" s="97">
        <f>SUM(Y30:Y33)</f>
        <v>2.3428454183000411E-2</v>
      </c>
      <c r="Z34" s="97">
        <f>SUM(Z30:Z33)</f>
        <v>0.25218178202780461</v>
      </c>
      <c r="AA34" s="98">
        <f>1/(SUM(IF(ISERR(AA30),0,1/AA30),IF(ISERR(AA31),0,1/AA31),IF(ISERR(AA32),0,1/AA32),IF(ISERR(AA33),0,1/AA33))/COUNT(AA30:AA33))</f>
        <v>11985.721048137473</v>
      </c>
      <c r="AB34" s="98">
        <f>1/(SUM(IF(ISERR(AB30),0,1/AB30),IF(ISERR(AB31),0,1/AB31),IF(ISERR(AB32),0,1/AB32),IF(ISERR(AB33),0,1/AB33))/COUNT(AB30:AB33))</f>
        <v>1113.5099219639576</v>
      </c>
      <c r="AC34" s="86" t="s">
        <v>17</v>
      </c>
      <c r="AD34" s="86"/>
      <c r="AE34" s="94"/>
      <c r="AF34" s="94"/>
      <c r="AG34" s="95">
        <f>SUM(AG30:AG33)</f>
        <v>4.5333333333333545E-2</v>
      </c>
      <c r="AH34" s="96"/>
      <c r="AI34" s="97">
        <f>SUM(AI30:AI33)</f>
        <v>8.4292851028785077E-3</v>
      </c>
      <c r="AJ34" s="97">
        <f>SUM(AJ30:AJ33)</f>
        <v>9.0732069724290057E-2</v>
      </c>
      <c r="AK34" s="98">
        <f>1/(SUM(IF(ISERR(AK30),0,1/AK30),IF(ISERR(AK31),0,1/AK31),IF(ISERR(AK32),0,1/AK32),IF(ISERR(AK33),0,1/AK33))/COUNT(AK30:AK33))</f>
        <v>29855.558790295647</v>
      </c>
      <c r="AL34" s="98">
        <f>1/(SUM(IF(ISERR(AL30),0,1/AL30),IF(ISERR(AL31),0,1/AL31),IF(ISERR(AL32),0,1/AL32),IF(ISERR(AL33),0,1/AL33))/COUNT(AL30:AL33))</f>
        <v>2773.6721725171878</v>
      </c>
      <c r="AM34" s="86" t="s">
        <v>17</v>
      </c>
    </row>
    <row r="35" spans="1:39" ht="13.5" thickBot="1" x14ac:dyDescent="0.25"/>
    <row r="36" spans="1:39" s="109" customFormat="1" ht="14.25" thickBot="1" x14ac:dyDescent="0.25">
      <c r="A36" s="116"/>
      <c r="B36" s="117"/>
      <c r="C36" s="118"/>
      <c r="D36" s="119"/>
      <c r="E36" s="119"/>
      <c r="F36" s="119"/>
      <c r="G36" s="119"/>
      <c r="H36" s="120"/>
      <c r="I36" s="121"/>
      <c r="J36" s="108"/>
      <c r="K36" s="102" t="s">
        <v>80</v>
      </c>
      <c r="L36" s="103"/>
      <c r="M36" s="104" t="s">
        <v>18</v>
      </c>
      <c r="N36" s="105" t="s">
        <v>11</v>
      </c>
      <c r="O36" s="105" t="s">
        <v>66</v>
      </c>
      <c r="P36" s="105" t="s">
        <v>67</v>
      </c>
      <c r="Q36" s="105" t="s">
        <v>68</v>
      </c>
      <c r="R36" s="106" t="s">
        <v>69</v>
      </c>
      <c r="S36" s="107"/>
      <c r="T36" s="108"/>
      <c r="U36" s="102" t="s">
        <v>42</v>
      </c>
      <c r="V36" s="103"/>
      <c r="W36" s="104" t="s">
        <v>18</v>
      </c>
      <c r="X36" s="105" t="s">
        <v>11</v>
      </c>
      <c r="Y36" s="105" t="s">
        <v>66</v>
      </c>
      <c r="Z36" s="105" t="s">
        <v>67</v>
      </c>
      <c r="AA36" s="105" t="s">
        <v>68</v>
      </c>
      <c r="AB36" s="106" t="s">
        <v>69</v>
      </c>
      <c r="AC36" s="107"/>
      <c r="AD36" s="108"/>
      <c r="AE36" s="116"/>
      <c r="AF36" s="117"/>
      <c r="AG36" s="118"/>
      <c r="AH36" s="119"/>
      <c r="AI36" s="119"/>
      <c r="AJ36" s="119"/>
      <c r="AK36" s="119"/>
      <c r="AL36" s="120"/>
      <c r="AM36" s="121"/>
    </row>
    <row r="37" spans="1:39" s="4" customFormat="1" x14ac:dyDescent="0.2">
      <c r="A37" s="122"/>
      <c r="B37" s="123"/>
      <c r="C37" s="124"/>
      <c r="D37" s="125"/>
      <c r="E37" s="126"/>
      <c r="F37" s="126"/>
      <c r="G37" s="127"/>
      <c r="H37" s="128"/>
      <c r="I37" s="129"/>
      <c r="J37" s="77"/>
      <c r="K37" s="78" t="s">
        <v>8</v>
      </c>
      <c r="L37" s="79" t="s">
        <v>16</v>
      </c>
      <c r="M37" s="85">
        <v>0.71444444444444455</v>
      </c>
      <c r="N37" s="80">
        <f>'Data Introduction'!$E$7/Calculus!M37</f>
        <v>40.590979782270601</v>
      </c>
      <c r="O37" s="81">
        <f>M37/Calculus!$E$3</f>
        <v>0.17004958677685955</v>
      </c>
      <c r="P37" s="81">
        <f>M37/Calculus!$E$4</f>
        <v>1.8303985184646221</v>
      </c>
      <c r="Q37" s="82">
        <f>N37*Calculus!$E$3</f>
        <v>170.5384914463452</v>
      </c>
      <c r="R37" s="83">
        <f>N37*Calculus!$E$4</f>
        <v>15.84354429237947</v>
      </c>
      <c r="S37" s="84" t="str">
        <f>IF(R37=MIN(R37:R40),"Minimum","")</f>
        <v>Minimum</v>
      </c>
      <c r="T37" s="86"/>
      <c r="U37" s="78" t="s">
        <v>8</v>
      </c>
      <c r="V37" s="79" t="s">
        <v>16</v>
      </c>
      <c r="W37" s="85">
        <v>0.59777777777777807</v>
      </c>
      <c r="X37" s="80">
        <f>'Data Introduction'!$E$7/Calculus!W37</f>
        <v>48.513011152416333</v>
      </c>
      <c r="Y37" s="81">
        <f>W37/Calculus!$E$3</f>
        <v>0.14228099173553727</v>
      </c>
      <c r="Z37" s="81">
        <f>W37/Calculus!$E$4</f>
        <v>1.5314998490419394</v>
      </c>
      <c r="AA37" s="82">
        <f>X37*Calculus!$E$3</f>
        <v>203.8220260223047</v>
      </c>
      <c r="AB37" s="83">
        <f>X37*Calculus!$E$4</f>
        <v>18.935685836431219</v>
      </c>
      <c r="AC37" s="84" t="str">
        <f>IF(AB37=MIN(AB37:AB40),"Minimum","")</f>
        <v>Minimum</v>
      </c>
      <c r="AD37" s="86"/>
      <c r="AE37" s="122"/>
      <c r="AF37" s="123"/>
      <c r="AG37" s="124"/>
      <c r="AH37" s="125"/>
      <c r="AI37" s="126"/>
      <c r="AJ37" s="126"/>
      <c r="AK37" s="127"/>
      <c r="AL37" s="128"/>
      <c r="AM37" s="129"/>
    </row>
    <row r="38" spans="1:39" s="4" customFormat="1" x14ac:dyDescent="0.2">
      <c r="A38" s="130"/>
      <c r="B38" s="131"/>
      <c r="C38" s="132"/>
      <c r="D38" s="133"/>
      <c r="E38" s="134"/>
      <c r="F38" s="134"/>
      <c r="G38" s="135"/>
      <c r="H38" s="136"/>
      <c r="I38" s="129"/>
      <c r="J38" s="77"/>
      <c r="K38" s="87" t="s">
        <v>7</v>
      </c>
      <c r="L38" s="88" t="s">
        <v>15</v>
      </c>
      <c r="M38" s="93">
        <v>0.41222222222222155</v>
      </c>
      <c r="N38" s="89">
        <f>'Data Introduction'!$E$8/Calculus!M38</f>
        <v>70.350404312668573</v>
      </c>
      <c r="O38" s="90">
        <f>M38/Calculus!$E$3</f>
        <v>9.8115702479338693E-2</v>
      </c>
      <c r="P38" s="90">
        <f>M38/Calculus!$E$4</f>
        <v>1.0561086319601456</v>
      </c>
      <c r="Q38" s="91">
        <f>N38*Calculus!$E$3</f>
        <v>295.56940700808667</v>
      </c>
      <c r="R38" s="92">
        <f>N38*Calculus!$E$4</f>
        <v>27.459296442048561</v>
      </c>
      <c r="S38" s="84" t="str">
        <f>IF(R38=MIN(R37:R40),"Minimum","")</f>
        <v/>
      </c>
      <c r="T38" s="86"/>
      <c r="U38" s="87" t="s">
        <v>7</v>
      </c>
      <c r="V38" s="88" t="s">
        <v>15</v>
      </c>
      <c r="W38" s="93">
        <v>0.35333333333333411</v>
      </c>
      <c r="X38" s="89">
        <f>'Data Introduction'!$E$8/Calculus!W38</f>
        <v>82.07547169811302</v>
      </c>
      <c r="Y38" s="90">
        <f>W38/Calculus!$E$3</f>
        <v>8.4099173553719209E-2</v>
      </c>
      <c r="Z38" s="90">
        <f>W38/Calculus!$E$4</f>
        <v>0.90523597025155678</v>
      </c>
      <c r="AA38" s="91">
        <f>X38*Calculus!$E$3</f>
        <v>344.83097484276647</v>
      </c>
      <c r="AB38" s="92">
        <f>X38*Calculus!$E$4</f>
        <v>32.035845849056528</v>
      </c>
      <c r="AC38" s="84" t="str">
        <f>IF(AB38=MIN(AB37:AB40),"Minimum","")</f>
        <v/>
      </c>
      <c r="AD38" s="86"/>
      <c r="AE38" s="130"/>
      <c r="AF38" s="131"/>
      <c r="AG38" s="132"/>
      <c r="AH38" s="133"/>
      <c r="AI38" s="134"/>
      <c r="AJ38" s="134"/>
      <c r="AK38" s="135"/>
      <c r="AL38" s="136"/>
      <c r="AM38" s="129"/>
    </row>
    <row r="39" spans="1:39" s="4" customFormat="1" x14ac:dyDescent="0.2">
      <c r="A39" s="130"/>
      <c r="B39" s="131"/>
      <c r="C39" s="132"/>
      <c r="D39" s="133"/>
      <c r="E39" s="134"/>
      <c r="F39" s="134"/>
      <c r="G39" s="135"/>
      <c r="H39" s="136"/>
      <c r="I39" s="129"/>
      <c r="J39" s="77"/>
      <c r="K39" s="87" t="s">
        <v>6</v>
      </c>
      <c r="L39" s="88" t="s">
        <v>14</v>
      </c>
      <c r="M39" s="93">
        <v>0.34000000000000025</v>
      </c>
      <c r="N39" s="89">
        <f>'Data Introduction'!$E$9/Calculus!M39</f>
        <v>85.294117647058755</v>
      </c>
      <c r="O39" s="90">
        <f>M39/Calculus!$E$3</f>
        <v>8.0925619834710819E-2</v>
      </c>
      <c r="P39" s="90">
        <f>M39/Calculus!$E$4</f>
        <v>0.87107612231753451</v>
      </c>
      <c r="Q39" s="91">
        <f>N39*Calculus!$E$3</f>
        <v>358.35375816993434</v>
      </c>
      <c r="R39" s="92">
        <f>N39*Calculus!$E$4</f>
        <v>33.292153529411735</v>
      </c>
      <c r="S39" s="84" t="str">
        <f>IF(R39=MIN(R37:R40),"Minimum","")</f>
        <v/>
      </c>
      <c r="T39" s="86"/>
      <c r="U39" s="87" t="s">
        <v>6</v>
      </c>
      <c r="V39" s="88" t="s">
        <v>14</v>
      </c>
      <c r="W39" s="93">
        <v>0.28333333333333299</v>
      </c>
      <c r="X39" s="89">
        <f>'Data Introduction'!$E$9/Calculus!W39</f>
        <v>102.35294117647071</v>
      </c>
      <c r="Y39" s="90">
        <f>W39/Calculus!$E$3</f>
        <v>6.7438016528925546E-2</v>
      </c>
      <c r="Z39" s="90">
        <f>W39/Calculus!$E$4</f>
        <v>0.72589676859794405</v>
      </c>
      <c r="AA39" s="91">
        <f>X39*Calculus!$E$3</f>
        <v>430.024509803922</v>
      </c>
      <c r="AB39" s="92">
        <f>X39*Calculus!$E$4</f>
        <v>39.950584235294166</v>
      </c>
      <c r="AC39" s="84" t="str">
        <f>IF(AB39=MIN(AB37:AB40),"Minimum","")</f>
        <v/>
      </c>
      <c r="AD39" s="86"/>
      <c r="AE39" s="130"/>
      <c r="AF39" s="131"/>
      <c r="AG39" s="132"/>
      <c r="AH39" s="133"/>
      <c r="AI39" s="134"/>
      <c r="AJ39" s="134"/>
      <c r="AK39" s="135"/>
      <c r="AL39" s="136"/>
      <c r="AM39" s="129"/>
    </row>
    <row r="40" spans="1:39" s="4" customFormat="1" x14ac:dyDescent="0.2">
      <c r="A40" s="130"/>
      <c r="B40" s="131"/>
      <c r="C40" s="132"/>
      <c r="D40" s="133"/>
      <c r="E40" s="134"/>
      <c r="F40" s="134"/>
      <c r="G40" s="135"/>
      <c r="H40" s="136"/>
      <c r="I40" s="129"/>
      <c r="J40" s="77"/>
      <c r="K40" s="87" t="s">
        <v>52</v>
      </c>
      <c r="L40" s="88" t="s">
        <v>62</v>
      </c>
      <c r="M40" s="93">
        <v>0.2177777777777771</v>
      </c>
      <c r="N40" s="89">
        <f>'Data Introduction'!$E$10/Calculus!M40</f>
        <v>367.34693877551138</v>
      </c>
      <c r="O40" s="90">
        <f>M40/Calculus!$E$3</f>
        <v>5.1834710743801499E-2</v>
      </c>
      <c r="P40" s="90">
        <f>M40/Calculus!$E$4</f>
        <v>0.55794418292234027</v>
      </c>
      <c r="Q40" s="91">
        <f>N40*Calculus!$E$3</f>
        <v>1543.3673469387802</v>
      </c>
      <c r="R40" s="92">
        <f>N40*Calculus!$E$4</f>
        <v>143.38351836734739</v>
      </c>
      <c r="S40" s="84" t="str">
        <f>IF(R40=MIN(R37:R40),"Minimum","")</f>
        <v/>
      </c>
      <c r="T40" s="86"/>
      <c r="U40" s="87" t="s">
        <v>52</v>
      </c>
      <c r="V40" s="88" t="s">
        <v>62</v>
      </c>
      <c r="W40" s="93">
        <v>0.27777777777777773</v>
      </c>
      <c r="X40" s="89">
        <f>'Data Introduction'!$E$10/Calculus!W40</f>
        <v>288.00000000000006</v>
      </c>
      <c r="Y40" s="90">
        <f>W40/Calculus!$E$3</f>
        <v>6.6115702479338845E-2</v>
      </c>
      <c r="Z40" s="90">
        <f>W40/Calculus!$E$4</f>
        <v>0.7116634986254361</v>
      </c>
      <c r="AA40" s="91">
        <f>X40*Calculus!$E$3</f>
        <v>1210</v>
      </c>
      <c r="AB40" s="92">
        <f>X40*Calculus!$E$4</f>
        <v>112.41267840000002</v>
      </c>
      <c r="AC40" s="84" t="str">
        <f>IF(AB40=MIN(AB37:AB40),"Minimum","")</f>
        <v/>
      </c>
      <c r="AD40" s="86"/>
      <c r="AE40" s="130"/>
      <c r="AF40" s="131"/>
      <c r="AG40" s="132"/>
      <c r="AH40" s="133"/>
      <c r="AI40" s="134"/>
      <c r="AJ40" s="134"/>
      <c r="AK40" s="135"/>
      <c r="AL40" s="136"/>
      <c r="AM40" s="129"/>
    </row>
    <row r="41" spans="1:39" s="4" customFormat="1" ht="13.5" x14ac:dyDescent="0.25">
      <c r="A41" s="137"/>
      <c r="B41" s="137"/>
      <c r="C41" s="138"/>
      <c r="D41" s="139"/>
      <c r="E41" s="140"/>
      <c r="F41" s="140"/>
      <c r="G41" s="141"/>
      <c r="H41" s="141"/>
      <c r="I41" s="8"/>
      <c r="J41" s="77"/>
      <c r="K41" s="94"/>
      <c r="L41" s="94"/>
      <c r="M41" s="95">
        <f>SUM(M37:M40)</f>
        <v>1.6844444444444435</v>
      </c>
      <c r="N41" s="96"/>
      <c r="O41" s="97">
        <f>SUM(O37:O40)</f>
        <v>0.40092561983471053</v>
      </c>
      <c r="P41" s="97">
        <f>SUM(P37:P40)</f>
        <v>4.3155274556646424</v>
      </c>
      <c r="Q41" s="98">
        <f>1/(SUM(IF(ISERR(Q37),0,1/Q37),IF(ISERR(Q38),0,1/Q38),IF(ISERR(Q39),0,1/Q39),IF(ISERR(Q40),0,1/Q40))/COUNT(Q37:Q40))</f>
        <v>315.3193630710615</v>
      </c>
      <c r="R41" s="98">
        <f>1/(SUM(IF(ISERR(R37),0,1/R37),IF(ISERR(R38),0,1/R38),IF(ISERR(R39),0,1/R39),IF(ISERR(R40),0,1/R40))/COUNT(R37:R40))</f>
        <v>29.294127400165351</v>
      </c>
      <c r="S41" s="86" t="s">
        <v>17</v>
      </c>
      <c r="T41" s="86"/>
      <c r="U41" s="94"/>
      <c r="V41" s="94"/>
      <c r="W41" s="95">
        <f>SUM(W37:W40)</f>
        <v>1.5122222222222228</v>
      </c>
      <c r="X41" s="96"/>
      <c r="Y41" s="97">
        <f>SUM(Y37:Y40)</f>
        <v>0.35993388429752088</v>
      </c>
      <c r="Z41" s="97">
        <f>SUM(Z37:Z40)</f>
        <v>3.8742960865168765</v>
      </c>
      <c r="AA41" s="98">
        <f>1/(SUM(IF(ISERR(AA37),0,1/AA37),IF(ISERR(AA38),0,1/AA38),IF(ISERR(AA39),0,1/AA39),IF(ISERR(AA40),0,1/AA40))/COUNT(AA37:AA40))</f>
        <v>365.02652657859124</v>
      </c>
      <c r="AB41" s="98">
        <f>1/(SUM(IF(ISERR(AB37),0,1/AB37),IF(ISERR(AB38),0,1/AB38),IF(ISERR(AB39),0,1/AB39),IF(ISERR(AB40),0,1/AB40))/COUNT(AB37:AB40))</f>
        <v>33.912073999791929</v>
      </c>
      <c r="AC41" s="86" t="s">
        <v>17</v>
      </c>
      <c r="AD41" s="86"/>
      <c r="AE41" s="137"/>
      <c r="AF41" s="137"/>
      <c r="AG41" s="138"/>
      <c r="AH41" s="139"/>
      <c r="AI41" s="140"/>
      <c r="AJ41" s="140"/>
      <c r="AK41" s="141"/>
      <c r="AL41" s="141"/>
      <c r="AM41" s="8"/>
    </row>
    <row r="42" spans="1:39" s="4" customFormat="1" ht="14.25" thickBot="1" x14ac:dyDescent="0.3">
      <c r="A42" s="94"/>
      <c r="B42" s="94"/>
      <c r="C42" s="95"/>
      <c r="D42" s="96"/>
      <c r="E42" s="97"/>
      <c r="F42" s="97"/>
      <c r="G42" s="98"/>
      <c r="H42" s="98"/>
      <c r="I42" s="86"/>
      <c r="J42" s="77"/>
      <c r="K42" s="94"/>
      <c r="L42" s="94"/>
      <c r="M42" s="95"/>
      <c r="N42" s="96"/>
      <c r="O42" s="97"/>
      <c r="P42" s="97"/>
      <c r="Q42" s="98"/>
      <c r="R42" s="98"/>
      <c r="S42" s="86"/>
      <c r="T42" s="86"/>
      <c r="U42" s="94"/>
      <c r="V42" s="94"/>
      <c r="W42" s="95"/>
      <c r="X42" s="96"/>
      <c r="Y42" s="97"/>
      <c r="Z42" s="97"/>
      <c r="AA42" s="98"/>
      <c r="AB42" s="98"/>
      <c r="AC42" s="86"/>
      <c r="AD42" s="86"/>
      <c r="AE42" s="94"/>
      <c r="AF42" s="94"/>
      <c r="AG42" s="95"/>
      <c r="AH42" s="96"/>
      <c r="AI42" s="97"/>
      <c r="AJ42" s="97"/>
      <c r="AK42" s="98"/>
      <c r="AL42" s="98"/>
      <c r="AM42" s="86"/>
    </row>
    <row r="43" spans="1:39" s="109" customFormat="1" ht="14.25" thickBot="1" x14ac:dyDescent="0.25">
      <c r="A43" s="102"/>
      <c r="B43" s="103"/>
      <c r="C43" s="104"/>
      <c r="D43" s="105"/>
      <c r="E43" s="105"/>
      <c r="F43" s="105"/>
      <c r="G43" s="105"/>
      <c r="H43" s="106"/>
      <c r="I43" s="107"/>
      <c r="J43" s="108"/>
      <c r="K43" s="102" t="s">
        <v>63</v>
      </c>
      <c r="L43" s="103"/>
      <c r="M43" s="104" t="s">
        <v>18</v>
      </c>
      <c r="N43" s="105" t="s">
        <v>11</v>
      </c>
      <c r="O43" s="105" t="s">
        <v>66</v>
      </c>
      <c r="P43" s="105" t="s">
        <v>67</v>
      </c>
      <c r="Q43" s="105" t="s">
        <v>68</v>
      </c>
      <c r="R43" s="106" t="s">
        <v>69</v>
      </c>
      <c r="S43" s="107"/>
      <c r="T43" s="108"/>
      <c r="U43" s="102"/>
      <c r="V43" s="103"/>
      <c r="W43" s="104"/>
      <c r="X43" s="105"/>
      <c r="Y43" s="105"/>
      <c r="Z43" s="105"/>
      <c r="AA43" s="105"/>
      <c r="AB43" s="106"/>
      <c r="AC43" s="107"/>
      <c r="AD43" s="108"/>
      <c r="AE43" s="102"/>
      <c r="AF43" s="103"/>
      <c r="AG43" s="104"/>
      <c r="AH43" s="105"/>
      <c r="AI43" s="105"/>
      <c r="AJ43" s="105"/>
      <c r="AK43" s="105"/>
      <c r="AL43" s="106"/>
      <c r="AM43" s="107"/>
    </row>
    <row r="44" spans="1:39" s="4" customFormat="1" x14ac:dyDescent="0.2">
      <c r="A44" s="78"/>
      <c r="B44" s="79"/>
      <c r="C44" s="85"/>
      <c r="D44" s="80"/>
      <c r="E44" s="81"/>
      <c r="F44" s="81"/>
      <c r="G44" s="82"/>
      <c r="H44" s="83"/>
      <c r="I44" s="84"/>
      <c r="J44" s="77"/>
      <c r="K44" s="78" t="s">
        <v>8</v>
      </c>
      <c r="L44" s="79" t="s">
        <v>16</v>
      </c>
      <c r="M44" s="85">
        <v>1.0311111111111113</v>
      </c>
      <c r="N44" s="80">
        <f>'Data Introduction'!$E$7/Calculus!M44</f>
        <v>28.124999999999993</v>
      </c>
      <c r="O44" s="81">
        <f>M44/$O$3</f>
        <v>0.20738878413297018</v>
      </c>
      <c r="P44" s="81">
        <f>M44/$O$4</f>
        <v>2.2323142938376423</v>
      </c>
      <c r="Q44" s="82">
        <f>N44*$O$3</f>
        <v>139.83398437499997</v>
      </c>
      <c r="R44" s="83">
        <f>N44*$O$4</f>
        <v>12.991002243749996</v>
      </c>
      <c r="S44" s="84" t="str">
        <f>IF(R44=MIN(R44:R47),"Minimum","")</f>
        <v/>
      </c>
      <c r="T44" s="86"/>
      <c r="U44" s="78"/>
      <c r="V44" s="79"/>
      <c r="W44" s="85"/>
      <c r="X44" s="80"/>
      <c r="Y44" s="81"/>
      <c r="Z44" s="81"/>
      <c r="AA44" s="82"/>
      <c r="AB44" s="83"/>
      <c r="AC44" s="84"/>
      <c r="AD44" s="86"/>
      <c r="AE44" s="78"/>
      <c r="AF44" s="79"/>
      <c r="AG44" s="85"/>
      <c r="AH44" s="80"/>
      <c r="AI44" s="81"/>
      <c r="AJ44" s="81"/>
      <c r="AK44" s="82"/>
      <c r="AL44" s="83"/>
      <c r="AM44" s="84"/>
    </row>
    <row r="45" spans="1:39" s="4" customFormat="1" x14ac:dyDescent="0.2">
      <c r="A45" s="87"/>
      <c r="B45" s="88"/>
      <c r="C45" s="93"/>
      <c r="D45" s="89"/>
      <c r="E45" s="90"/>
      <c r="F45" s="90"/>
      <c r="G45" s="91"/>
      <c r="H45" s="92"/>
      <c r="I45" s="84"/>
      <c r="J45" s="77"/>
      <c r="K45" s="87" t="s">
        <v>7</v>
      </c>
      <c r="L45" s="88" t="s">
        <v>15</v>
      </c>
      <c r="M45" s="93">
        <v>1.2611111111111113</v>
      </c>
      <c r="N45" s="89">
        <f>'Data Introduction'!$E$8/Calculus!M45</f>
        <v>22.995594713656384</v>
      </c>
      <c r="O45" s="90">
        <f t="shared" ref="O45:O47" si="0">M45/$O$3</f>
        <v>0.25364899783504435</v>
      </c>
      <c r="P45" s="90">
        <f t="shared" ref="P45:P47" si="1">M45/$O$4</f>
        <v>2.7302550899846163</v>
      </c>
      <c r="Q45" s="91">
        <f t="shared" ref="Q45:Q47" si="2">N45*$O$3</f>
        <v>114.33122246696036</v>
      </c>
      <c r="R45" s="92">
        <f t="shared" ref="R45:R47" si="3">N45*$O$4</f>
        <v>10.621718134096914</v>
      </c>
      <c r="S45" s="84" t="str">
        <f>IF(R45=MIN(R44:R47),"Minimum","")</f>
        <v>Minimum</v>
      </c>
      <c r="T45" s="86"/>
      <c r="U45" s="87"/>
      <c r="V45" s="88"/>
      <c r="W45" s="93"/>
      <c r="X45" s="89"/>
      <c r="Y45" s="90"/>
      <c r="Z45" s="90"/>
      <c r="AA45" s="91"/>
      <c r="AB45" s="92"/>
      <c r="AC45" s="84"/>
      <c r="AD45" s="86"/>
      <c r="AE45" s="87"/>
      <c r="AF45" s="88"/>
      <c r="AG45" s="93"/>
      <c r="AH45" s="89"/>
      <c r="AI45" s="90"/>
      <c r="AJ45" s="90"/>
      <c r="AK45" s="91"/>
      <c r="AL45" s="92"/>
      <c r="AM45" s="84"/>
    </row>
    <row r="46" spans="1:39" s="4" customFormat="1" x14ac:dyDescent="0.2">
      <c r="A46" s="87"/>
      <c r="B46" s="88"/>
      <c r="C46" s="93"/>
      <c r="D46" s="89"/>
      <c r="E46" s="90"/>
      <c r="F46" s="90"/>
      <c r="G46" s="91"/>
      <c r="H46" s="92"/>
      <c r="I46" s="84"/>
      <c r="J46" s="77"/>
      <c r="K46" s="87" t="s">
        <v>6</v>
      </c>
      <c r="L46" s="88" t="s">
        <v>14</v>
      </c>
      <c r="M46" s="93">
        <v>0.97333333333333305</v>
      </c>
      <c r="N46" s="89">
        <f>'Data Introduction'!$E$9/Calculus!M46</f>
        <v>29.794520547945215</v>
      </c>
      <c r="O46" s="90">
        <f t="shared" si="0"/>
        <v>0.19576786088413986</v>
      </c>
      <c r="P46" s="90">
        <f t="shared" si="1"/>
        <v>2.1072277170277731</v>
      </c>
      <c r="Q46" s="91">
        <f t="shared" si="2"/>
        <v>148.13463184931513</v>
      </c>
      <c r="R46" s="92">
        <f t="shared" si="3"/>
        <v>13.762157628082196</v>
      </c>
      <c r="S46" s="84" t="str">
        <f>IF(R46=MIN(R44:R47),"Minimum","")</f>
        <v/>
      </c>
      <c r="T46" s="86"/>
      <c r="U46" s="87"/>
      <c r="V46" s="88"/>
      <c r="W46" s="93"/>
      <c r="X46" s="89"/>
      <c r="Y46" s="90"/>
      <c r="Z46" s="90"/>
      <c r="AA46" s="91"/>
      <c r="AB46" s="92"/>
      <c r="AC46" s="84"/>
      <c r="AD46" s="86"/>
      <c r="AE46" s="87"/>
      <c r="AF46" s="88"/>
      <c r="AG46" s="93"/>
      <c r="AH46" s="89"/>
      <c r="AI46" s="90"/>
      <c r="AJ46" s="90"/>
      <c r="AK46" s="91"/>
      <c r="AL46" s="92"/>
      <c r="AM46" s="84"/>
    </row>
    <row r="47" spans="1:39" s="4" customFormat="1" x14ac:dyDescent="0.2">
      <c r="A47" s="87"/>
      <c r="B47" s="88"/>
      <c r="C47" s="93"/>
      <c r="D47" s="89"/>
      <c r="E47" s="90"/>
      <c r="F47" s="90"/>
      <c r="G47" s="91"/>
      <c r="H47" s="92"/>
      <c r="I47" s="84"/>
      <c r="J47" s="77"/>
      <c r="K47" s="87" t="s">
        <v>52</v>
      </c>
      <c r="L47" s="88" t="s">
        <v>62</v>
      </c>
      <c r="M47" s="93">
        <v>1.0366666666666664</v>
      </c>
      <c r="N47" s="89">
        <f>'Data Introduction'!$E$10/Calculus!M47</f>
        <v>77.170418006430893</v>
      </c>
      <c r="O47" s="90">
        <f t="shared" si="0"/>
        <v>0.20850618059920378</v>
      </c>
      <c r="P47" s="90">
        <f t="shared" si="1"/>
        <v>2.2443418493001284</v>
      </c>
      <c r="Q47" s="91">
        <f t="shared" si="2"/>
        <v>383.68167202572363</v>
      </c>
      <c r="R47" s="92">
        <f t="shared" si="3"/>
        <v>35.64519372347268</v>
      </c>
      <c r="S47" s="84" t="str">
        <f>IF(R47=MIN(R44:R47),"Minimum","")</f>
        <v/>
      </c>
      <c r="T47" s="86"/>
      <c r="U47" s="87"/>
      <c r="V47" s="88"/>
      <c r="W47" s="93"/>
      <c r="X47" s="89"/>
      <c r="Y47" s="90"/>
      <c r="Z47" s="90"/>
      <c r="AA47" s="91"/>
      <c r="AB47" s="92"/>
      <c r="AC47" s="84"/>
      <c r="AD47" s="86"/>
      <c r="AE47" s="87"/>
      <c r="AF47" s="88"/>
      <c r="AG47" s="93"/>
      <c r="AH47" s="89"/>
      <c r="AI47" s="90"/>
      <c r="AJ47" s="90"/>
      <c r="AK47" s="91"/>
      <c r="AL47" s="92"/>
      <c r="AM47" s="84"/>
    </row>
    <row r="48" spans="1:39" s="4" customFormat="1" ht="13.5" x14ac:dyDescent="0.25">
      <c r="A48" s="94"/>
      <c r="B48" s="94"/>
      <c r="C48" s="95"/>
      <c r="D48" s="96"/>
      <c r="E48" s="97"/>
      <c r="F48" s="97"/>
      <c r="G48" s="98"/>
      <c r="H48" s="98"/>
      <c r="I48" s="86"/>
      <c r="J48" s="77"/>
      <c r="K48" s="94"/>
      <c r="L48" s="94"/>
      <c r="M48" s="95">
        <f>SUM(M44:M47)</f>
        <v>4.3022222222222224</v>
      </c>
      <c r="N48" s="96"/>
      <c r="O48" s="97">
        <f>SUM(O44:O47)</f>
        <v>0.86531182345135815</v>
      </c>
      <c r="P48" s="97">
        <f>SUM(P44:P47)</f>
        <v>9.3141389501501592</v>
      </c>
      <c r="Q48" s="98">
        <f>1/(SUM(IF(ISERR(Q44),0,1/Q44),IF(ISERR(Q45),0,1/Q45),IF(ISERR(Q46),0,1/Q46),IF(ISERR(Q47),0,1/Q47))/COUNT(Q44:Q47))</f>
        <v>158.38574703349266</v>
      </c>
      <c r="R48" s="98">
        <f>1/(SUM(IF(ISERR(R44),0,1/R44),IF(ISERR(R45),0,1/R45),IF(ISERR(R46),0,1/R46),IF(ISERR(R47),0,1/R47))/COUNT(R44:R47))</f>
        <v>14.714517392082449</v>
      </c>
      <c r="S48" s="86" t="s">
        <v>17</v>
      </c>
      <c r="T48" s="86"/>
      <c r="U48" s="94"/>
      <c r="V48" s="94"/>
      <c r="W48" s="95"/>
      <c r="X48" s="96"/>
      <c r="Y48" s="97"/>
      <c r="Z48" s="97"/>
      <c r="AA48" s="98"/>
      <c r="AB48" s="98"/>
      <c r="AC48" s="86"/>
      <c r="AD48" s="86"/>
      <c r="AE48" s="94"/>
      <c r="AF48" s="94"/>
      <c r="AG48" s="95"/>
      <c r="AH48" s="96"/>
      <c r="AI48" s="97"/>
      <c r="AJ48" s="97"/>
      <c r="AK48" s="98"/>
      <c r="AL48" s="98"/>
      <c r="AM48" s="86"/>
    </row>
    <row r="49" spans="1:39" s="4" customFormat="1" ht="14.25" thickBot="1" x14ac:dyDescent="0.3">
      <c r="A49" s="94"/>
      <c r="B49" s="94"/>
      <c r="C49" s="95"/>
      <c r="D49" s="96"/>
      <c r="E49" s="97"/>
      <c r="F49" s="97"/>
      <c r="G49" s="98"/>
      <c r="H49" s="98"/>
      <c r="I49" s="86"/>
      <c r="J49" s="77"/>
      <c r="K49" s="94"/>
      <c r="L49" s="94"/>
      <c r="M49" s="95"/>
      <c r="N49" s="96"/>
      <c r="O49" s="97"/>
      <c r="P49" s="97"/>
      <c r="Q49" s="98"/>
      <c r="R49" s="98"/>
      <c r="S49" s="86"/>
      <c r="T49" s="86"/>
      <c r="U49" s="94"/>
      <c r="V49" s="94"/>
      <c r="W49" s="95"/>
      <c r="X49" s="96"/>
      <c r="Y49" s="97"/>
      <c r="Z49" s="97"/>
      <c r="AA49" s="98"/>
      <c r="AB49" s="98"/>
      <c r="AC49" s="86"/>
      <c r="AD49" s="86"/>
      <c r="AE49" s="94"/>
      <c r="AF49" s="94"/>
      <c r="AG49" s="95"/>
      <c r="AH49" s="96"/>
      <c r="AI49" s="97"/>
      <c r="AJ49" s="97"/>
      <c r="AK49" s="98"/>
      <c r="AL49" s="98"/>
      <c r="AM49" s="86"/>
    </row>
    <row r="50" spans="1:39" s="109" customFormat="1" ht="14.25" thickBot="1" x14ac:dyDescent="0.25">
      <c r="A50" s="102"/>
      <c r="B50" s="103"/>
      <c r="C50" s="104"/>
      <c r="D50" s="105"/>
      <c r="E50" s="105"/>
      <c r="F50" s="105"/>
      <c r="G50" s="105"/>
      <c r="H50" s="106"/>
      <c r="I50" s="107"/>
      <c r="J50" s="108"/>
      <c r="K50" s="102" t="s">
        <v>64</v>
      </c>
      <c r="L50" s="103"/>
      <c r="M50" s="104" t="s">
        <v>18</v>
      </c>
      <c r="N50" s="105" t="s">
        <v>11</v>
      </c>
      <c r="O50" s="105" t="s">
        <v>66</v>
      </c>
      <c r="P50" s="105" t="s">
        <v>67</v>
      </c>
      <c r="Q50" s="105" t="s">
        <v>68</v>
      </c>
      <c r="R50" s="106" t="s">
        <v>69</v>
      </c>
      <c r="S50" s="107"/>
      <c r="T50" s="108"/>
      <c r="U50" s="102"/>
      <c r="V50" s="103"/>
      <c r="W50" s="104"/>
      <c r="X50" s="105"/>
      <c r="Y50" s="105"/>
      <c r="Z50" s="105"/>
      <c r="AA50" s="105"/>
      <c r="AB50" s="106"/>
      <c r="AC50" s="107"/>
      <c r="AD50" s="108"/>
      <c r="AE50" s="102"/>
      <c r="AF50" s="103"/>
      <c r="AG50" s="104"/>
      <c r="AH50" s="105"/>
      <c r="AI50" s="105"/>
      <c r="AJ50" s="105"/>
      <c r="AK50" s="105"/>
      <c r="AL50" s="106"/>
      <c r="AM50" s="107"/>
    </row>
    <row r="51" spans="1:39" s="4" customFormat="1" x14ac:dyDescent="0.2">
      <c r="A51" s="78"/>
      <c r="B51" s="79"/>
      <c r="C51" s="85"/>
      <c r="D51" s="80"/>
      <c r="E51" s="81"/>
      <c r="F51" s="81"/>
      <c r="G51" s="82"/>
      <c r="H51" s="83"/>
      <c r="I51" s="84"/>
      <c r="J51" s="77"/>
      <c r="K51" s="78" t="s">
        <v>8</v>
      </c>
      <c r="L51" s="79" t="s">
        <v>16</v>
      </c>
      <c r="M51" s="85">
        <v>0.77444444444444427</v>
      </c>
      <c r="N51" s="80">
        <f>'Data Introduction'!$E$7/Calculus!M51</f>
        <v>37.446197991391685</v>
      </c>
      <c r="O51" s="81">
        <f>M51/$O$13</f>
        <v>0.15189859024555605</v>
      </c>
      <c r="P51" s="81">
        <f>M51/$O$14</f>
        <v>1.6350228178276625</v>
      </c>
      <c r="Q51" s="82">
        <f>N51*$O$13</f>
        <v>190.91684756994263</v>
      </c>
      <c r="R51" s="83">
        <f>N51*$O$14</f>
        <v>17.736755526464286</v>
      </c>
      <c r="S51" s="84" t="str">
        <f>IF(R51=MIN(R51:R54),"Minimum","")</f>
        <v>Minimum</v>
      </c>
      <c r="T51" s="86"/>
      <c r="U51" s="78"/>
      <c r="V51" s="79"/>
      <c r="W51" s="85"/>
      <c r="X51" s="80"/>
      <c r="Y51" s="81"/>
      <c r="Z51" s="81"/>
      <c r="AA51" s="82"/>
      <c r="AB51" s="83"/>
      <c r="AC51" s="84"/>
      <c r="AD51" s="86"/>
      <c r="AE51" s="78"/>
      <c r="AF51" s="79"/>
      <c r="AG51" s="85"/>
      <c r="AH51" s="80"/>
      <c r="AI51" s="81"/>
      <c r="AJ51" s="81"/>
      <c r="AK51" s="82"/>
      <c r="AL51" s="83"/>
      <c r="AM51" s="84"/>
    </row>
    <row r="52" spans="1:39" s="4" customFormat="1" x14ac:dyDescent="0.2">
      <c r="A52" s="87"/>
      <c r="B52" s="88"/>
      <c r="C52" s="93"/>
      <c r="D52" s="89"/>
      <c r="E52" s="90"/>
      <c r="F52" s="90"/>
      <c r="G52" s="91"/>
      <c r="H52" s="92"/>
      <c r="I52" s="84"/>
      <c r="J52" s="77"/>
      <c r="K52" s="87" t="s">
        <v>7</v>
      </c>
      <c r="L52" s="88" t="s">
        <v>15</v>
      </c>
      <c r="M52" s="93">
        <v>0.42000000000000015</v>
      </c>
      <c r="N52" s="89">
        <f>'Data Introduction'!$E$8/Calculus!M52</f>
        <v>69.047619047619023</v>
      </c>
      <c r="O52" s="90">
        <f t="shared" ref="O52:O54" si="4">M52/$O$13</f>
        <v>8.2378288540631589E-2</v>
      </c>
      <c r="P52" s="90">
        <f t="shared" ref="P52:P54" si="5">M52/$O$14</f>
        <v>0.88671251813322349</v>
      </c>
      <c r="Q52" s="91">
        <f t="shared" ref="Q52:Q54" si="6">N52*$O$13</f>
        <v>352.0345046461639</v>
      </c>
      <c r="R52" s="92">
        <f t="shared" ref="R52:R54" si="7">N52*$O$14</f>
        <v>32.705075666522752</v>
      </c>
      <c r="S52" s="84" t="str">
        <f>IF(R52=MIN(R51:R54),"Minimum","")</f>
        <v/>
      </c>
      <c r="T52" s="86"/>
      <c r="U52" s="87"/>
      <c r="V52" s="88"/>
      <c r="W52" s="93"/>
      <c r="X52" s="89"/>
      <c r="Y52" s="90"/>
      <c r="Z52" s="90"/>
      <c r="AA52" s="91"/>
      <c r="AB52" s="92"/>
      <c r="AC52" s="84"/>
      <c r="AD52" s="86"/>
      <c r="AE52" s="87"/>
      <c r="AF52" s="88"/>
      <c r="AG52" s="93"/>
      <c r="AH52" s="89"/>
      <c r="AI52" s="90"/>
      <c r="AJ52" s="90"/>
      <c r="AK52" s="91"/>
      <c r="AL52" s="92"/>
      <c r="AM52" s="84"/>
    </row>
    <row r="53" spans="1:39" s="4" customFormat="1" x14ac:dyDescent="0.2">
      <c r="A53" s="87"/>
      <c r="B53" s="88"/>
      <c r="C53" s="93"/>
      <c r="D53" s="89"/>
      <c r="E53" s="90"/>
      <c r="F53" s="90"/>
      <c r="G53" s="91"/>
      <c r="H53" s="92"/>
      <c r="I53" s="84"/>
      <c r="J53" s="77"/>
      <c r="K53" s="87" t="s">
        <v>6</v>
      </c>
      <c r="L53" s="88" t="s">
        <v>14</v>
      </c>
      <c r="M53" s="93">
        <v>0.25777777777777783</v>
      </c>
      <c r="N53" s="89">
        <f>'Data Introduction'!$E$9/Calculus!M53</f>
        <v>112.49999999999997</v>
      </c>
      <c r="O53" s="90">
        <f t="shared" si="4"/>
        <v>5.0560219421763294E-2</v>
      </c>
      <c r="P53" s="90">
        <f t="shared" si="5"/>
        <v>0.54422567250504716</v>
      </c>
      <c r="Q53" s="91">
        <f t="shared" si="6"/>
        <v>573.57346015624989</v>
      </c>
      <c r="R53" s="92">
        <f t="shared" si="7"/>
        <v>53.286718111834489</v>
      </c>
      <c r="S53" s="84" t="str">
        <f>IF(R53=MIN(R51:R54),"Minimum","")</f>
        <v/>
      </c>
      <c r="T53" s="86"/>
      <c r="U53" s="87"/>
      <c r="V53" s="88"/>
      <c r="W53" s="93"/>
      <c r="X53" s="89"/>
      <c r="Y53" s="90"/>
      <c r="Z53" s="90"/>
      <c r="AA53" s="91"/>
      <c r="AB53" s="92"/>
      <c r="AC53" s="84"/>
      <c r="AD53" s="86"/>
      <c r="AE53" s="87"/>
      <c r="AF53" s="88"/>
      <c r="AG53" s="93"/>
      <c r="AH53" s="89"/>
      <c r="AI53" s="90"/>
      <c r="AJ53" s="90"/>
      <c r="AK53" s="91"/>
      <c r="AL53" s="92"/>
      <c r="AM53" s="84"/>
    </row>
    <row r="54" spans="1:39" s="4" customFormat="1" x14ac:dyDescent="0.2">
      <c r="A54" s="87"/>
      <c r="B54" s="88"/>
      <c r="C54" s="93"/>
      <c r="D54" s="89"/>
      <c r="E54" s="90"/>
      <c r="F54" s="90"/>
      <c r="G54" s="91"/>
      <c r="H54" s="92"/>
      <c r="I54" s="84"/>
      <c r="J54" s="77"/>
      <c r="K54" s="87" t="s">
        <v>52</v>
      </c>
      <c r="L54" s="88" t="s">
        <v>62</v>
      </c>
      <c r="M54" s="93">
        <v>0.23000000000000084</v>
      </c>
      <c r="N54" s="89">
        <f>'Data Introduction'!$E$10/Calculus!M54</f>
        <v>347.82608695652044</v>
      </c>
      <c r="O54" s="90">
        <f t="shared" si="4"/>
        <v>4.511191991510792E-2</v>
      </c>
      <c r="P54" s="90">
        <f t="shared" si="5"/>
        <v>0.48558066469200495</v>
      </c>
      <c r="Q54" s="91">
        <f t="shared" si="6"/>
        <v>1773.3672198067568</v>
      </c>
      <c r="R54" s="92">
        <f t="shared" si="7"/>
        <v>164.7512057563959</v>
      </c>
      <c r="S54" s="84" t="str">
        <f>IF(R54=MIN(R51:R54),"Minimum","")</f>
        <v/>
      </c>
      <c r="T54" s="86"/>
      <c r="U54" s="87"/>
      <c r="V54" s="88"/>
      <c r="W54" s="93"/>
      <c r="X54" s="89"/>
      <c r="Y54" s="90"/>
      <c r="Z54" s="90"/>
      <c r="AA54" s="91"/>
      <c r="AB54" s="92"/>
      <c r="AC54" s="84"/>
      <c r="AD54" s="86"/>
      <c r="AE54" s="87"/>
      <c r="AF54" s="88"/>
      <c r="AG54" s="93"/>
      <c r="AH54" s="89"/>
      <c r="AI54" s="90"/>
      <c r="AJ54" s="90"/>
      <c r="AK54" s="91"/>
      <c r="AL54" s="92"/>
      <c r="AM54" s="84"/>
    </row>
    <row r="55" spans="1:39" s="4" customFormat="1" ht="13.5" x14ac:dyDescent="0.25">
      <c r="A55" s="94"/>
      <c r="B55" s="94"/>
      <c r="C55" s="95"/>
      <c r="D55" s="96"/>
      <c r="E55" s="97"/>
      <c r="F55" s="97"/>
      <c r="G55" s="98"/>
      <c r="H55" s="98"/>
      <c r="I55" s="86"/>
      <c r="J55" s="77"/>
      <c r="K55" s="94"/>
      <c r="L55" s="94"/>
      <c r="M55" s="95">
        <f>SUM(M51:M54)</f>
        <v>1.6822222222222232</v>
      </c>
      <c r="N55" s="96"/>
      <c r="O55" s="97">
        <f>SUM(O51:O54)</f>
        <v>0.32994901812305888</v>
      </c>
      <c r="P55" s="97">
        <f>SUM(P51:P54)</f>
        <v>3.5515416731579381</v>
      </c>
      <c r="Q55" s="98">
        <f>1/(SUM(IF(ISERR(Q51),0,1/Q51),IF(ISERR(Q52),0,1/Q52),IF(ISERR(Q53),0,1/Q53),IF(ISERR(Q54),0,1/Q54))/COUNT(Q51:Q54))</f>
        <v>385.1387325054493</v>
      </c>
      <c r="R55" s="98">
        <f>1/(SUM(IF(ISERR(R51),0,1/R51),IF(ISERR(R52),0,1/R52),IF(ISERR(R53),0,1/R53),IF(ISERR(R54),0,1/R54))/COUNT(R51:R54))</f>
        <v>35.780559071503056</v>
      </c>
      <c r="S55" s="86" t="s">
        <v>17</v>
      </c>
      <c r="T55" s="86"/>
      <c r="U55" s="94"/>
      <c r="V55" s="94"/>
      <c r="W55" s="95"/>
      <c r="X55" s="96"/>
      <c r="Y55" s="97"/>
      <c r="Z55" s="97"/>
      <c r="AA55" s="98"/>
      <c r="AB55" s="98"/>
      <c r="AC55" s="86"/>
      <c r="AD55" s="86"/>
      <c r="AE55" s="94"/>
      <c r="AF55" s="94"/>
      <c r="AG55" s="95"/>
      <c r="AH55" s="96"/>
      <c r="AI55" s="97"/>
      <c r="AJ55" s="97"/>
      <c r="AK55" s="98"/>
      <c r="AL55" s="98"/>
      <c r="AM55" s="86"/>
    </row>
    <row r="56" spans="1:39" s="4" customFormat="1" ht="13.5" x14ac:dyDescent="0.25">
      <c r="A56" s="94"/>
      <c r="B56" s="94"/>
      <c r="C56" s="95"/>
      <c r="D56" s="96"/>
      <c r="E56" s="97"/>
      <c r="F56" s="97"/>
      <c r="G56" s="172"/>
      <c r="H56" s="172"/>
      <c r="I56" s="86"/>
      <c r="J56" s="77"/>
      <c r="K56" s="94"/>
      <c r="L56" s="94"/>
      <c r="M56" s="95"/>
      <c r="N56" s="96"/>
      <c r="O56" s="97"/>
      <c r="P56" s="97"/>
      <c r="Q56" s="172"/>
      <c r="R56" s="172"/>
      <c r="S56" s="86"/>
      <c r="T56" s="86"/>
      <c r="U56" s="94"/>
      <c r="V56" s="94"/>
      <c r="W56" s="95"/>
      <c r="X56" s="96"/>
      <c r="Y56" s="97"/>
      <c r="Z56" s="97"/>
      <c r="AA56" s="172"/>
      <c r="AB56" s="172"/>
      <c r="AC56" s="86"/>
      <c r="AD56" s="86"/>
      <c r="AE56" s="94"/>
      <c r="AF56" s="94"/>
      <c r="AG56" s="95"/>
      <c r="AH56" s="96"/>
      <c r="AI56" s="97"/>
      <c r="AJ56" s="97"/>
      <c r="AK56" s="172"/>
      <c r="AL56" s="172"/>
      <c r="AM56" s="86"/>
    </row>
    <row r="57" spans="1:39" s="4" customFormat="1" ht="13.5" x14ac:dyDescent="0.25">
      <c r="A57" s="101" t="s">
        <v>25</v>
      </c>
      <c r="B57" s="94">
        <v>1</v>
      </c>
      <c r="C57" s="95"/>
      <c r="D57" s="96"/>
      <c r="E57" s="97"/>
      <c r="F57" s="97"/>
      <c r="G57" s="98"/>
      <c r="H57" s="98"/>
      <c r="I57" s="86"/>
      <c r="J57" s="77"/>
      <c r="K57" s="94"/>
      <c r="L57" s="94"/>
      <c r="M57" s="95"/>
      <c r="N57" s="96"/>
      <c r="O57" s="97"/>
      <c r="P57" s="97"/>
      <c r="Q57" s="98"/>
      <c r="R57" s="98"/>
      <c r="S57" s="86"/>
      <c r="T57" s="86"/>
      <c r="U57" s="94"/>
      <c r="V57" s="94"/>
      <c r="W57" s="95"/>
      <c r="X57" s="96"/>
      <c r="Y57" s="97"/>
      <c r="Z57" s="97"/>
      <c r="AA57" s="98"/>
      <c r="AB57" s="98"/>
      <c r="AC57" s="86"/>
      <c r="AD57" s="86"/>
      <c r="AE57" s="94"/>
      <c r="AF57" s="94"/>
      <c r="AG57" s="95"/>
      <c r="AH57" s="96"/>
      <c r="AI57" s="97"/>
      <c r="AJ57" s="97"/>
      <c r="AK57" s="98"/>
      <c r="AL57" s="98"/>
      <c r="AM57" s="86"/>
    </row>
    <row r="58" spans="1:39" s="4" customFormat="1" ht="15.75" thickBot="1" x14ac:dyDescent="0.25">
      <c r="A58" s="99"/>
      <c r="B58" s="99"/>
      <c r="C58" s="99"/>
      <c r="D58" s="99"/>
      <c r="E58" s="100"/>
      <c r="F58" s="100"/>
      <c r="G58" s="99"/>
      <c r="H58" s="99"/>
      <c r="I58" s="100"/>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row>
    <row r="59" spans="1:39" s="109" customFormat="1" ht="14.25" thickBot="1" x14ac:dyDescent="0.25">
      <c r="A59" s="102" t="s">
        <v>27</v>
      </c>
      <c r="B59" s="103"/>
      <c r="C59" s="104" t="s">
        <v>18</v>
      </c>
      <c r="D59" s="105" t="s">
        <v>11</v>
      </c>
      <c r="E59" s="105" t="s">
        <v>66</v>
      </c>
      <c r="F59" s="105" t="s">
        <v>67</v>
      </c>
      <c r="G59" s="105" t="s">
        <v>68</v>
      </c>
      <c r="H59" s="106" t="s">
        <v>69</v>
      </c>
      <c r="I59" s="107"/>
      <c r="J59" s="108"/>
      <c r="K59" s="102" t="s">
        <v>28</v>
      </c>
      <c r="L59" s="103"/>
      <c r="M59" s="104" t="s">
        <v>18</v>
      </c>
      <c r="N59" s="105" t="s">
        <v>11</v>
      </c>
      <c r="O59" s="105" t="s">
        <v>66</v>
      </c>
      <c r="P59" s="105" t="s">
        <v>67</v>
      </c>
      <c r="Q59" s="105" t="s">
        <v>68</v>
      </c>
      <c r="R59" s="106" t="s">
        <v>69</v>
      </c>
      <c r="S59" s="107"/>
      <c r="T59" s="108"/>
      <c r="U59" s="102"/>
      <c r="V59" s="103"/>
      <c r="W59" s="104"/>
      <c r="X59" s="105"/>
      <c r="Y59" s="105"/>
      <c r="Z59" s="105"/>
      <c r="AA59" s="105"/>
      <c r="AB59" s="106"/>
      <c r="AC59" s="107"/>
      <c r="AD59" s="108"/>
      <c r="AE59" s="102"/>
      <c r="AF59" s="103"/>
      <c r="AG59" s="104"/>
      <c r="AH59" s="105"/>
      <c r="AI59" s="105"/>
      <c r="AJ59" s="105"/>
      <c r="AK59" s="105"/>
      <c r="AL59" s="106"/>
      <c r="AM59" s="107"/>
    </row>
    <row r="60" spans="1:39" s="4" customFormat="1" x14ac:dyDescent="0.2">
      <c r="A60" s="78" t="s">
        <v>8</v>
      </c>
      <c r="B60" s="79" t="s">
        <v>16</v>
      </c>
      <c r="C60" s="85">
        <v>1.1033333333333342</v>
      </c>
      <c r="D60" s="80">
        <f>'Data Introduction'!$E$7/Calculus!C60</f>
        <v>26.283987915407835</v>
      </c>
      <c r="E60" s="81">
        <f>C60/Calculus!$E$13</f>
        <v>0.24647843623952859</v>
      </c>
      <c r="F60" s="81">
        <f>C60/Calculus!$E$14</f>
        <v>2.6530718073329851</v>
      </c>
      <c r="G60" s="82">
        <f>D60*Calculus!$E$13</f>
        <v>117.65735146022146</v>
      </c>
      <c r="H60" s="83">
        <f>D60*$E$14</f>
        <v>10.930725629003012</v>
      </c>
      <c r="I60" s="84" t="str">
        <f>IF(H60=MIN(H60:H63),"Minimum","")</f>
        <v>Minimum</v>
      </c>
      <c r="J60" s="86"/>
      <c r="K60" s="78" t="s">
        <v>8</v>
      </c>
      <c r="L60" s="79" t="s">
        <v>16</v>
      </c>
      <c r="M60" s="85">
        <v>1.1255555555555559</v>
      </c>
      <c r="N60" s="80">
        <f>'Data Introduction'!$E$7/Calculus!M60</f>
        <v>25.765054294175709</v>
      </c>
      <c r="O60" s="81">
        <f>M60/Calculus!$E$13</f>
        <v>0.25144275519702147</v>
      </c>
      <c r="P60" s="81">
        <f>M60/Calculus!$E$14</f>
        <v>2.7065072918714126</v>
      </c>
      <c r="Q60" s="82">
        <f>N60*Calculus!$E$13</f>
        <v>115.33440276406709</v>
      </c>
      <c r="R60" s="83">
        <f>N60*$E$14</f>
        <v>10.714916633366235</v>
      </c>
      <c r="S60" s="84" t="str">
        <f>IF(R60=MIN(R60:R63),"Minimum","")</f>
        <v>Minimum</v>
      </c>
      <c r="T60" s="86"/>
      <c r="U60" s="78"/>
      <c r="V60" s="79"/>
      <c r="W60" s="85"/>
      <c r="X60" s="80"/>
      <c r="Y60" s="81"/>
      <c r="Z60" s="81"/>
      <c r="AA60" s="82"/>
      <c r="AB60" s="83"/>
      <c r="AC60" s="84"/>
      <c r="AD60" s="86"/>
      <c r="AE60" s="78"/>
      <c r="AF60" s="79"/>
      <c r="AG60" s="85"/>
      <c r="AH60" s="80"/>
      <c r="AI60" s="81"/>
      <c r="AJ60" s="81"/>
      <c r="AK60" s="82"/>
      <c r="AL60" s="83"/>
      <c r="AM60" s="84"/>
    </row>
    <row r="61" spans="1:39" s="4" customFormat="1" x14ac:dyDescent="0.2">
      <c r="A61" s="87" t="s">
        <v>7</v>
      </c>
      <c r="B61" s="88" t="s">
        <v>15</v>
      </c>
      <c r="C61" s="93">
        <v>0.96500000000000052</v>
      </c>
      <c r="D61" s="89">
        <f>'Data Introduction'!$E$8/Calculus!C61</f>
        <v>30.051813471502573</v>
      </c>
      <c r="E61" s="90">
        <f>C61/Calculus!$E$13</f>
        <v>0.21557555072913448</v>
      </c>
      <c r="F61" s="90">
        <f>C61/Calculus!$E$14</f>
        <v>2.3204359160812658</v>
      </c>
      <c r="G61" s="91">
        <f>D61*Calculus!$E$13</f>
        <v>134.52360391479553</v>
      </c>
      <c r="H61" s="92">
        <f t="shared" ref="H61:H63" si="8">D61*$E$14</f>
        <v>12.497651755440405</v>
      </c>
      <c r="I61" s="84" t="str">
        <f>IF(H61=MIN(H60:H63),"Minimum","")</f>
        <v/>
      </c>
      <c r="J61" s="86"/>
      <c r="K61" s="87" t="s">
        <v>7</v>
      </c>
      <c r="L61" s="88" t="s">
        <v>15</v>
      </c>
      <c r="M61" s="93">
        <v>0.97333333333333305</v>
      </c>
      <c r="N61" s="89">
        <f>'Data Introduction'!$E$8/Calculus!M61</f>
        <v>29.794520547945215</v>
      </c>
      <c r="O61" s="90">
        <f>M61/Calculus!$E$13</f>
        <v>0.21743717033819418</v>
      </c>
      <c r="P61" s="90">
        <f>M61/Calculus!$E$14</f>
        <v>2.3404742227831745</v>
      </c>
      <c r="Q61" s="91">
        <f>N61*Calculus!$E$13</f>
        <v>133.37186073059365</v>
      </c>
      <c r="R61" s="92">
        <f t="shared" ref="R61:R63" si="9">N61*$E$14</f>
        <v>12.390651312328769</v>
      </c>
      <c r="S61" s="84" t="str">
        <f>IF(R61=MIN(R60:R63),"Minimum","")</f>
        <v/>
      </c>
      <c r="T61" s="86"/>
      <c r="U61" s="87"/>
      <c r="V61" s="88"/>
      <c r="W61" s="93"/>
      <c r="X61" s="89"/>
      <c r="Y61" s="90"/>
      <c r="Z61" s="90"/>
      <c r="AA61" s="91"/>
      <c r="AB61" s="92"/>
      <c r="AC61" s="84"/>
      <c r="AD61" s="86"/>
      <c r="AE61" s="87"/>
      <c r="AF61" s="88"/>
      <c r="AG61" s="93"/>
      <c r="AH61" s="89"/>
      <c r="AI61" s="90"/>
      <c r="AJ61" s="90"/>
      <c r="AK61" s="91"/>
      <c r="AL61" s="92"/>
      <c r="AM61" s="84"/>
    </row>
    <row r="62" spans="1:39" s="4" customFormat="1" x14ac:dyDescent="0.2">
      <c r="A62" s="87" t="s">
        <v>6</v>
      </c>
      <c r="B62" s="88" t="s">
        <v>14</v>
      </c>
      <c r="C62" s="93">
        <v>0.94999999999999929</v>
      </c>
      <c r="D62" s="89">
        <f>'Data Introduction'!$E$9/Calculus!C62</f>
        <v>30.526315789473706</v>
      </c>
      <c r="E62" s="90">
        <f>C62/Calculus!$E$13</f>
        <v>0.21222463543282641</v>
      </c>
      <c r="F62" s="90">
        <f>C62/Calculus!$E$14</f>
        <v>2.2843669640178237</v>
      </c>
      <c r="G62" s="91">
        <f>D62*Calculus!$E$13</f>
        <v>136.64766081871355</v>
      </c>
      <c r="H62" s="92">
        <f t="shared" si="8"/>
        <v>12.694983098947375</v>
      </c>
      <c r="I62" s="84" t="str">
        <f>IF(H62=MIN(H60:H63),"Minimum","")</f>
        <v/>
      </c>
      <c r="J62" s="77"/>
      <c r="K62" s="87" t="s">
        <v>6</v>
      </c>
      <c r="L62" s="88" t="s">
        <v>14</v>
      </c>
      <c r="M62" s="93">
        <v>0.94555555555555537</v>
      </c>
      <c r="N62" s="89">
        <f>'Data Introduction'!$E$9/Calculus!M62</f>
        <v>30.669800235017632</v>
      </c>
      <c r="O62" s="90">
        <f>M62/Calculus!$E$13</f>
        <v>0.21123177164132792</v>
      </c>
      <c r="P62" s="90">
        <f>M62/Calculus!$E$14</f>
        <v>2.2736798671101393</v>
      </c>
      <c r="Q62" s="91">
        <f>N62*Calculus!$E$13</f>
        <v>137.28995299647477</v>
      </c>
      <c r="R62" s="92">
        <f t="shared" si="9"/>
        <v>12.754653994829614</v>
      </c>
      <c r="S62" s="84" t="str">
        <f>IF(R62=MIN(R60:R63),"Minimum","")</f>
        <v/>
      </c>
      <c r="T62" s="86"/>
      <c r="U62" s="87"/>
      <c r="V62" s="88"/>
      <c r="W62" s="93"/>
      <c r="X62" s="89"/>
      <c r="Y62" s="90"/>
      <c r="Z62" s="90"/>
      <c r="AA62" s="91"/>
      <c r="AB62" s="92"/>
      <c r="AC62" s="84"/>
      <c r="AD62" s="86"/>
      <c r="AE62" s="87"/>
      <c r="AF62" s="88"/>
      <c r="AG62" s="93"/>
      <c r="AH62" s="89"/>
      <c r="AI62" s="90"/>
      <c r="AJ62" s="90"/>
      <c r="AK62" s="91"/>
      <c r="AL62" s="92"/>
      <c r="AM62" s="84"/>
    </row>
    <row r="63" spans="1:39" s="4" customFormat="1" x14ac:dyDescent="0.2">
      <c r="A63" s="87" t="s">
        <v>52</v>
      </c>
      <c r="B63" s="88" t="s">
        <v>62</v>
      </c>
      <c r="C63" s="93">
        <v>4.8333333333332007E-2</v>
      </c>
      <c r="D63" s="89">
        <f>'Data Introduction'!$E$10/Calculus!C63</f>
        <v>1655.172413793149</v>
      </c>
      <c r="E63" s="90">
        <f>C63/Calculus!$E$13</f>
        <v>1.079739373254702E-2</v>
      </c>
      <c r="F63" s="90">
        <f>C63/Calculus!$E$14</f>
        <v>0.11622217887107915</v>
      </c>
      <c r="G63" s="91">
        <f>D63*Calculus!$E$13</f>
        <v>7409.195402299054</v>
      </c>
      <c r="H63" s="92">
        <f t="shared" si="8"/>
        <v>688.33677682760504</v>
      </c>
      <c r="I63" s="84" t="str">
        <f>IF(H63=MIN(H60:H63),"Minimum","")</f>
        <v/>
      </c>
      <c r="J63" s="77"/>
      <c r="K63" s="87" t="s">
        <v>52</v>
      </c>
      <c r="L63" s="88" t="s">
        <v>62</v>
      </c>
      <c r="M63" s="93">
        <v>3.666666666666648E-2</v>
      </c>
      <c r="N63" s="89">
        <f>'Data Introduction'!$E$10/Calculus!M63</f>
        <v>2181.8181818181929</v>
      </c>
      <c r="O63" s="90">
        <f>M63/Calculus!$E$13</f>
        <v>8.1911262798634397E-3</v>
      </c>
      <c r="P63" s="90">
        <f>M63/Calculus!$E$14</f>
        <v>8.8168549488406842E-2</v>
      </c>
      <c r="Q63" s="91">
        <f>N63*Calculus!$E$13</f>
        <v>9766.6666666667152</v>
      </c>
      <c r="R63" s="92">
        <f t="shared" si="9"/>
        <v>907.35302400000444</v>
      </c>
      <c r="S63" s="84" t="str">
        <f>IF(R63=MIN(R60:R63),"Minimum","")</f>
        <v/>
      </c>
      <c r="T63" s="86"/>
      <c r="U63" s="87"/>
      <c r="V63" s="88"/>
      <c r="W63" s="93"/>
      <c r="X63" s="89"/>
      <c r="Y63" s="90"/>
      <c r="Z63" s="90"/>
      <c r="AA63" s="91"/>
      <c r="AB63" s="92"/>
      <c r="AC63" s="84"/>
      <c r="AD63" s="86"/>
      <c r="AE63" s="87"/>
      <c r="AF63" s="88"/>
      <c r="AG63" s="93"/>
      <c r="AH63" s="89"/>
      <c r="AI63" s="90"/>
      <c r="AJ63" s="90"/>
      <c r="AK63" s="91"/>
      <c r="AL63" s="92"/>
      <c r="AM63" s="84"/>
    </row>
    <row r="64" spans="1:39" s="4" customFormat="1" ht="13.5" x14ac:dyDescent="0.25">
      <c r="A64" s="94"/>
      <c r="B64" s="94"/>
      <c r="C64" s="95">
        <f>SUM(C60:C63)</f>
        <v>3.066666666666666</v>
      </c>
      <c r="D64" s="96"/>
      <c r="E64" s="97">
        <f>SUM(E60:E63)</f>
        <v>0.68507601613403657</v>
      </c>
      <c r="F64" s="97">
        <f>SUM(F60:F63)</f>
        <v>7.3740968663031543</v>
      </c>
      <c r="G64" s="98">
        <f>1/(SUM(IF(ISERR(G60),0,1/G60),IF(ISERR(G61),0,1/G61),IF(ISERR(G62),0,1/G62),IF(ISERR(G63),0,1/G63))/COUNT(G60:G63))</f>
        <v>171.04283756859567</v>
      </c>
      <c r="H64" s="98">
        <f>1/(SUM(IF(ISERR(H60),0,1/H60),IF(ISERR(H61),0,1/H61),IF(ISERR(H62),0,1/H62),IF(ISERR(H63),0,1/H63))/COUNT(H60:H63))</f>
        <v>15.890399580348745</v>
      </c>
      <c r="I64" s="86" t="s">
        <v>17</v>
      </c>
      <c r="J64" s="77"/>
      <c r="K64" s="94"/>
      <c r="L64" s="94"/>
      <c r="M64" s="95">
        <f>SUM(M60:M63)</f>
        <v>3.0811111111111109</v>
      </c>
      <c r="N64" s="96"/>
      <c r="O64" s="97">
        <f>SUM(O60:O63)</f>
        <v>0.68830282345640692</v>
      </c>
      <c r="P64" s="97">
        <f>SUM(P60:P63)</f>
        <v>7.4088299312531332</v>
      </c>
      <c r="Q64" s="98">
        <f>1/(SUM(IF(ISERR(Q60),0,1/Q60),IF(ISERR(Q61),0,1/Q61),IF(ISERR(Q62),0,1/Q62),IF(ISERR(Q63),0,1/Q63))/COUNT(Q60:Q63))</f>
        <v>169.81881112115445</v>
      </c>
      <c r="R64" s="98">
        <f>1/(SUM(IF(ISERR(R60),0,1/R60),IF(ISERR(R61),0,1/R61),IF(ISERR(R62),0,1/R62),IF(ISERR(R63),0,1/R63))/COUNT(R60:R63))</f>
        <v>15.776683802341058</v>
      </c>
      <c r="S64" s="86" t="s">
        <v>17</v>
      </c>
      <c r="T64" s="86"/>
      <c r="U64" s="94"/>
      <c r="V64" s="94"/>
      <c r="W64" s="95"/>
      <c r="X64" s="96"/>
      <c r="Y64" s="97"/>
      <c r="Z64" s="97"/>
      <c r="AA64" s="98"/>
      <c r="AB64" s="98"/>
      <c r="AC64" s="86"/>
      <c r="AD64" s="86"/>
      <c r="AE64" s="94"/>
      <c r="AF64" s="94"/>
      <c r="AG64" s="95"/>
      <c r="AH64" s="96"/>
      <c r="AI64" s="97"/>
      <c r="AJ64" s="97"/>
      <c r="AK64" s="98"/>
      <c r="AL64" s="98"/>
      <c r="AM64" s="86"/>
    </row>
    <row r="65" spans="1:39" s="4" customFormat="1" x14ac:dyDescent="0.2">
      <c r="A65" s="94"/>
      <c r="B65" s="94"/>
      <c r="C65" s="97"/>
      <c r="D65" s="97"/>
      <c r="E65" s="97"/>
      <c r="F65" s="97"/>
      <c r="G65" s="97"/>
      <c r="H65" s="97"/>
      <c r="I65" s="97"/>
      <c r="J65" s="77"/>
      <c r="K65" s="94"/>
      <c r="L65" s="86"/>
      <c r="M65" s="97"/>
      <c r="N65" s="97"/>
      <c r="O65" s="97"/>
      <c r="P65" s="97"/>
      <c r="Q65" s="97"/>
      <c r="R65" s="97"/>
      <c r="S65" s="97"/>
      <c r="T65" s="86"/>
      <c r="U65" s="86"/>
      <c r="V65" s="86"/>
      <c r="W65" s="86"/>
      <c r="X65" s="86"/>
      <c r="Y65" s="86"/>
      <c r="Z65" s="86"/>
      <c r="AA65" s="86"/>
      <c r="AB65" s="86"/>
      <c r="AC65" s="86"/>
      <c r="AD65" s="86"/>
      <c r="AE65" s="86"/>
      <c r="AF65" s="86"/>
      <c r="AG65" s="86"/>
      <c r="AH65" s="86"/>
      <c r="AI65" s="86"/>
      <c r="AJ65" s="86"/>
      <c r="AK65" s="86"/>
      <c r="AL65" s="86"/>
      <c r="AM65" s="86"/>
    </row>
    <row r="66" spans="1:39" s="4" customFormat="1" ht="15" x14ac:dyDescent="0.2">
      <c r="A66" s="99"/>
      <c r="B66" s="99"/>
      <c r="C66" s="99"/>
      <c r="D66" s="99"/>
      <c r="E66" s="100"/>
      <c r="F66" s="100"/>
      <c r="G66" s="99"/>
      <c r="H66" s="99"/>
      <c r="I66" s="100"/>
      <c r="J66" s="77"/>
      <c r="K66" s="86"/>
      <c r="L66" s="86"/>
      <c r="M66" s="86"/>
      <c r="N66" s="86"/>
      <c r="O66" s="86"/>
      <c r="P66" s="86"/>
      <c r="Q66" s="86"/>
      <c r="R66" s="86"/>
      <c r="S66" s="77"/>
      <c r="T66" s="86"/>
      <c r="U66" s="86"/>
      <c r="V66" s="86"/>
      <c r="W66" s="86"/>
      <c r="X66" s="86"/>
      <c r="Y66" s="86"/>
      <c r="Z66" s="86"/>
      <c r="AA66" s="86"/>
      <c r="AB66" s="86"/>
      <c r="AC66" s="86"/>
      <c r="AD66" s="86"/>
      <c r="AE66" s="86"/>
      <c r="AF66" s="86"/>
      <c r="AG66" s="86"/>
      <c r="AH66" s="86"/>
      <c r="AI66" s="86"/>
      <c r="AJ66" s="86"/>
      <c r="AK66" s="86"/>
      <c r="AL66" s="86"/>
      <c r="AM66" s="86"/>
    </row>
    <row r="67" spans="1:39" s="4" customFormat="1" ht="13.5" x14ac:dyDescent="0.25">
      <c r="A67" s="101" t="s">
        <v>26</v>
      </c>
      <c r="B67" s="101">
        <v>3</v>
      </c>
      <c r="C67" s="86"/>
      <c r="D67" s="86"/>
      <c r="E67" s="86"/>
      <c r="F67" s="86"/>
      <c r="G67" s="86"/>
      <c r="H67" s="86"/>
      <c r="I67" s="86"/>
      <c r="J67" s="77"/>
      <c r="K67" s="86"/>
      <c r="L67" s="86"/>
      <c r="M67" s="86"/>
      <c r="N67" s="86"/>
      <c r="O67" s="86"/>
      <c r="P67" s="86"/>
      <c r="Q67" s="86"/>
      <c r="R67" s="86"/>
      <c r="S67" s="77"/>
      <c r="T67" s="86"/>
      <c r="U67" s="86"/>
      <c r="V67" s="86"/>
      <c r="W67" s="86"/>
      <c r="X67" s="86"/>
      <c r="Y67" s="86"/>
      <c r="Z67" s="86"/>
      <c r="AA67" s="86"/>
      <c r="AB67" s="86"/>
      <c r="AC67" s="86"/>
      <c r="AD67" s="86"/>
      <c r="AE67" s="86"/>
      <c r="AF67" s="86"/>
      <c r="AG67" s="86"/>
      <c r="AH67" s="86"/>
      <c r="AI67" s="86"/>
      <c r="AJ67" s="86"/>
      <c r="AK67" s="86"/>
      <c r="AL67" s="86"/>
      <c r="AM67" s="86"/>
    </row>
    <row r="68" spans="1:39" s="4" customFormat="1" ht="13.5" thickBot="1" x14ac:dyDescent="0.25">
      <c r="A68" s="86"/>
      <c r="B68" s="86"/>
      <c r="C68" s="86"/>
      <c r="D68" s="86"/>
      <c r="E68" s="86"/>
      <c r="F68" s="86"/>
      <c r="G68" s="86"/>
      <c r="H68" s="86"/>
      <c r="I68" s="86"/>
      <c r="J68" s="77"/>
      <c r="K68" s="86"/>
      <c r="L68" s="86"/>
      <c r="M68" s="86"/>
      <c r="N68" s="86"/>
      <c r="O68" s="86"/>
      <c r="P68" s="77"/>
      <c r="Q68" s="86"/>
      <c r="R68" s="86"/>
      <c r="S68" s="77"/>
      <c r="T68" s="86"/>
      <c r="U68" s="86"/>
      <c r="V68" s="86"/>
      <c r="W68" s="86"/>
      <c r="X68" s="86"/>
      <c r="Y68" s="86"/>
      <c r="Z68" s="86"/>
      <c r="AA68" s="86"/>
      <c r="AB68" s="86"/>
      <c r="AC68" s="86"/>
      <c r="AD68" s="86"/>
      <c r="AE68" s="86"/>
      <c r="AF68" s="86"/>
      <c r="AG68" s="86"/>
      <c r="AH68" s="86"/>
      <c r="AI68" s="86"/>
      <c r="AJ68" s="86"/>
      <c r="AK68" s="86"/>
      <c r="AL68" s="86"/>
      <c r="AM68" s="86"/>
    </row>
    <row r="69" spans="1:39" s="109" customFormat="1" ht="14.25" thickBot="1" x14ac:dyDescent="0.25">
      <c r="A69" s="102" t="s">
        <v>41</v>
      </c>
      <c r="B69" s="103"/>
      <c r="C69" s="104" t="s">
        <v>18</v>
      </c>
      <c r="D69" s="105" t="s">
        <v>11</v>
      </c>
      <c r="E69" s="105" t="s">
        <v>66</v>
      </c>
      <c r="F69" s="105" t="s">
        <v>67</v>
      </c>
      <c r="G69" s="105" t="s">
        <v>68</v>
      </c>
      <c r="H69" s="106" t="s">
        <v>69</v>
      </c>
      <c r="I69" s="107"/>
      <c r="J69" s="108"/>
      <c r="K69" s="102" t="s">
        <v>43</v>
      </c>
      <c r="L69" s="103"/>
      <c r="M69" s="104" t="s">
        <v>18</v>
      </c>
      <c r="N69" s="105" t="s">
        <v>11</v>
      </c>
      <c r="O69" s="105" t="s">
        <v>66</v>
      </c>
      <c r="P69" s="105" t="s">
        <v>67</v>
      </c>
      <c r="Q69" s="105" t="s">
        <v>68</v>
      </c>
      <c r="R69" s="106" t="s">
        <v>69</v>
      </c>
      <c r="S69" s="107"/>
      <c r="T69" s="108"/>
      <c r="U69" s="102" t="s">
        <v>42</v>
      </c>
      <c r="V69" s="103"/>
      <c r="W69" s="104" t="s">
        <v>18</v>
      </c>
      <c r="X69" s="105" t="s">
        <v>11</v>
      </c>
      <c r="Y69" s="105" t="s">
        <v>66</v>
      </c>
      <c r="Z69" s="105" t="s">
        <v>67</v>
      </c>
      <c r="AA69" s="105" t="s">
        <v>68</v>
      </c>
      <c r="AB69" s="106" t="s">
        <v>69</v>
      </c>
      <c r="AC69" s="107"/>
      <c r="AD69" s="108"/>
      <c r="AE69" s="102"/>
      <c r="AF69" s="103"/>
      <c r="AG69" s="104"/>
      <c r="AH69" s="105"/>
      <c r="AI69" s="105"/>
      <c r="AJ69" s="105"/>
      <c r="AK69" s="105"/>
      <c r="AL69" s="106"/>
      <c r="AM69" s="107"/>
    </row>
    <row r="70" spans="1:39" s="4" customFormat="1" x14ac:dyDescent="0.2">
      <c r="A70" s="78" t="s">
        <v>8</v>
      </c>
      <c r="B70" s="79" t="s">
        <v>16</v>
      </c>
      <c r="C70" s="85">
        <v>0.57166666666666788</v>
      </c>
      <c r="D70" s="80">
        <f>'Data Introduction'!$E$7/Calculus!C70</f>
        <v>50.728862973760826</v>
      </c>
      <c r="E70" s="81">
        <f>C70/$E$3</f>
        <v>0.13606611570247965</v>
      </c>
      <c r="F70" s="81">
        <f>C70/$E$4</f>
        <v>1.4646034801711507</v>
      </c>
      <c r="G70" s="82">
        <f>D70*$E$3</f>
        <v>213.13168124392567</v>
      </c>
      <c r="H70" s="83">
        <f>D70*$E$4</f>
        <v>19.800581107871679</v>
      </c>
      <c r="I70" s="84" t="str">
        <f>IF(H70=MIN(H70:H73),"Minimum","")</f>
        <v>Minimum</v>
      </c>
      <c r="J70" s="77"/>
      <c r="K70" s="78" t="s">
        <v>8</v>
      </c>
      <c r="L70" s="79" t="s">
        <v>16</v>
      </c>
      <c r="M70" s="85">
        <v>0.59333333333333282</v>
      </c>
      <c r="N70" s="80">
        <f>'Data Introduction'!$E$7/Calculus!M70</f>
        <v>48.876404494382065</v>
      </c>
      <c r="O70" s="81">
        <f>M70/$E$3</f>
        <v>0.14122314049586768</v>
      </c>
      <c r="P70" s="81">
        <f>M70/$E$4</f>
        <v>1.5201132330639304</v>
      </c>
      <c r="Q70" s="82">
        <f>N70*$E$3</f>
        <v>205.34878277153572</v>
      </c>
      <c r="R70" s="83">
        <f>N70*$E$4</f>
        <v>19.077526179775298</v>
      </c>
      <c r="S70" s="84" t="str">
        <f>IF(R70=MIN(R70:R73),"Minimum","")</f>
        <v>Minimum</v>
      </c>
      <c r="T70" s="86"/>
      <c r="U70" s="78" t="s">
        <v>8</v>
      </c>
      <c r="V70" s="79" t="s">
        <v>16</v>
      </c>
      <c r="W70" s="85">
        <v>0.58888888888888857</v>
      </c>
      <c r="X70" s="80">
        <f>'Data Introduction'!$E$7/Calculus!W70</f>
        <v>49.245283018867951</v>
      </c>
      <c r="Y70" s="81">
        <f>W70/$E$3</f>
        <v>0.14016528925619828</v>
      </c>
      <c r="Z70" s="81">
        <f>W70/$E$4</f>
        <v>1.5087266170859239</v>
      </c>
      <c r="AA70" s="82">
        <f>X70*$E$3</f>
        <v>206.89858490566047</v>
      </c>
      <c r="AB70" s="83">
        <f>X70*$E$4</f>
        <v>19.221507509433973</v>
      </c>
      <c r="AC70" s="84" t="str">
        <f>IF(AB70=MIN(AB70:AB73),"Minimum","")</f>
        <v>Minimum</v>
      </c>
      <c r="AD70" s="86"/>
      <c r="AE70" s="78"/>
      <c r="AF70" s="79"/>
      <c r="AG70" s="85"/>
      <c r="AH70" s="80"/>
      <c r="AI70" s="81"/>
      <c r="AJ70" s="81"/>
      <c r="AK70" s="82"/>
      <c r="AL70" s="83"/>
      <c r="AM70" s="84"/>
    </row>
    <row r="71" spans="1:39" s="4" customFormat="1" x14ac:dyDescent="0.2">
      <c r="A71" s="87" t="s">
        <v>7</v>
      </c>
      <c r="B71" s="88" t="s">
        <v>15</v>
      </c>
      <c r="C71" s="93">
        <v>0.36833333333333229</v>
      </c>
      <c r="D71" s="89">
        <f>'Data Introduction'!$E$8/Calculus!C71</f>
        <v>78.733031674208362</v>
      </c>
      <c r="E71" s="90">
        <f t="shared" ref="E71:E73" si="10">C71/$E$3</f>
        <v>8.7669421487603066E-2</v>
      </c>
      <c r="F71" s="90">
        <f t="shared" ref="F71:F73" si="11">C71/$E$4</f>
        <v>0.94366579917732574</v>
      </c>
      <c r="G71" s="91">
        <f t="shared" ref="G71:G73" si="12">D71*$E$3</f>
        <v>330.78808446455594</v>
      </c>
      <c r="H71" s="92">
        <f t="shared" ref="H71:H73" si="13">D71*$E$4</f>
        <v>30.731218642534021</v>
      </c>
      <c r="I71" s="84" t="str">
        <f>IF(H71=MIN(H70:H73),"Minimum","")</f>
        <v/>
      </c>
      <c r="J71" s="77"/>
      <c r="K71" s="87" t="s">
        <v>7</v>
      </c>
      <c r="L71" s="88" t="s">
        <v>15</v>
      </c>
      <c r="M71" s="93">
        <v>0.37111111111111067</v>
      </c>
      <c r="N71" s="89">
        <f>'Data Introduction'!$E$8/Calculus!M71</f>
        <v>78.143712574850397</v>
      </c>
      <c r="O71" s="90">
        <f t="shared" ref="O71:O73" si="14">M71/$E$3</f>
        <v>8.8330578512396604E-2</v>
      </c>
      <c r="P71" s="90">
        <f t="shared" ref="P71:P73" si="15">M71/$E$4</f>
        <v>0.95078243416358166</v>
      </c>
      <c r="Q71" s="91">
        <f t="shared" ref="Q71:Q73" si="16">N71*$E$3</f>
        <v>328.31212574850338</v>
      </c>
      <c r="R71" s="92">
        <f t="shared" ref="R71:R73" si="17">N71*$E$4</f>
        <v>30.501194550898241</v>
      </c>
      <c r="S71" s="84" t="str">
        <f>IF(R71=MIN(R70:R73),"Minimum","")</f>
        <v/>
      </c>
      <c r="T71" s="86"/>
      <c r="U71" s="87" t="s">
        <v>7</v>
      </c>
      <c r="V71" s="88" t="s">
        <v>15</v>
      </c>
      <c r="W71" s="93">
        <v>0.36111111111111116</v>
      </c>
      <c r="X71" s="89">
        <f>'Data Introduction'!$E$8/Calculus!W71</f>
        <v>80.307692307692292</v>
      </c>
      <c r="Y71" s="90">
        <f t="shared" ref="Y71:Y73" si="18">W71/$E$3</f>
        <v>8.5950413223140523E-2</v>
      </c>
      <c r="Z71" s="90">
        <f t="shared" ref="Z71:Z73" si="19">W71/$E$4</f>
        <v>0.9251625482130672</v>
      </c>
      <c r="AA71" s="91">
        <f t="shared" ref="AA71:AA73" si="20">X71*$E$3</f>
        <v>337.40384615384608</v>
      </c>
      <c r="AB71" s="92">
        <f t="shared" ref="AB71:AB73" si="21">X71*$E$4</f>
        <v>31.345843015384609</v>
      </c>
      <c r="AC71" s="84" t="str">
        <f>IF(AB71=MIN(AB70:AB73),"Minimum","")</f>
        <v/>
      </c>
      <c r="AD71" s="86"/>
      <c r="AE71" s="87"/>
      <c r="AF71" s="88"/>
      <c r="AG71" s="93"/>
      <c r="AH71" s="89"/>
      <c r="AI71" s="90"/>
      <c r="AJ71" s="90"/>
      <c r="AK71" s="91"/>
      <c r="AL71" s="92"/>
      <c r="AM71" s="84"/>
    </row>
    <row r="72" spans="1:39" s="4" customFormat="1" x14ac:dyDescent="0.2">
      <c r="A72" s="87" t="s">
        <v>6</v>
      </c>
      <c r="B72" s="88" t="s">
        <v>14</v>
      </c>
      <c r="C72" s="93">
        <v>0.32166666666666666</v>
      </c>
      <c r="D72" s="89">
        <f>'Data Introduction'!$E$9/Calculus!C72</f>
        <v>90.15544041450778</v>
      </c>
      <c r="E72" s="90">
        <f t="shared" si="10"/>
        <v>7.6561983471074388E-2</v>
      </c>
      <c r="F72" s="90">
        <f t="shared" si="11"/>
        <v>0.82410633140825507</v>
      </c>
      <c r="G72" s="91">
        <f t="shared" si="12"/>
        <v>378.77806563039724</v>
      </c>
      <c r="H72" s="92">
        <f t="shared" si="13"/>
        <v>35.189633782383424</v>
      </c>
      <c r="I72" s="84" t="str">
        <f>IF(H72=MIN(H70:H73),"Minimum","")</f>
        <v/>
      </c>
      <c r="J72" s="77"/>
      <c r="K72" s="87" t="s">
        <v>6</v>
      </c>
      <c r="L72" s="88" t="s">
        <v>14</v>
      </c>
      <c r="M72" s="93">
        <v>0.32111111111111118</v>
      </c>
      <c r="N72" s="89">
        <f>'Data Introduction'!$E$9/Calculus!M72</f>
        <v>90.311418685121083</v>
      </c>
      <c r="O72" s="90">
        <f t="shared" si="14"/>
        <v>7.6429752066115728E-2</v>
      </c>
      <c r="P72" s="90">
        <f t="shared" si="15"/>
        <v>0.82268300441100439</v>
      </c>
      <c r="Q72" s="91">
        <f t="shared" si="16"/>
        <v>379.43339100346009</v>
      </c>
      <c r="R72" s="92">
        <f t="shared" si="17"/>
        <v>35.250515501730092</v>
      </c>
      <c r="S72" s="84" t="str">
        <f>IF(R72=MIN(R70:R73),"Minimum","")</f>
        <v/>
      </c>
      <c r="T72" s="86"/>
      <c r="U72" s="87" t="s">
        <v>6</v>
      </c>
      <c r="V72" s="88" t="s">
        <v>14</v>
      </c>
      <c r="W72" s="93">
        <v>0.29444444444444429</v>
      </c>
      <c r="X72" s="89">
        <f>'Data Introduction'!$E$9/Calculus!W72</f>
        <v>98.490566037735903</v>
      </c>
      <c r="Y72" s="90">
        <f t="shared" si="18"/>
        <v>7.0082644628099142E-2</v>
      </c>
      <c r="Z72" s="90">
        <f t="shared" si="19"/>
        <v>0.75436330854296196</v>
      </c>
      <c r="AA72" s="91">
        <f t="shared" si="20"/>
        <v>413.79716981132094</v>
      </c>
      <c r="AB72" s="92">
        <f t="shared" si="21"/>
        <v>38.443015018867946</v>
      </c>
      <c r="AC72" s="84" t="str">
        <f>IF(AB72=MIN(AB70:AB73),"Minimum","")</f>
        <v/>
      </c>
      <c r="AD72" s="86"/>
      <c r="AE72" s="87"/>
      <c r="AF72" s="88"/>
      <c r="AG72" s="93"/>
      <c r="AH72" s="89"/>
      <c r="AI72" s="90"/>
      <c r="AJ72" s="90"/>
      <c r="AK72" s="91"/>
      <c r="AL72" s="92"/>
      <c r="AM72" s="84"/>
    </row>
    <row r="73" spans="1:39" s="4" customFormat="1" x14ac:dyDescent="0.2">
      <c r="A73" s="87" t="s">
        <v>52</v>
      </c>
      <c r="B73" s="88" t="s">
        <v>62</v>
      </c>
      <c r="C73" s="93">
        <v>0.18166666666666487</v>
      </c>
      <c r="D73" s="89">
        <f>'Data Introduction'!$E$10/Calculus!C73</f>
        <v>440.3669724770686</v>
      </c>
      <c r="E73" s="90">
        <f t="shared" si="10"/>
        <v>4.323966942148718E-2</v>
      </c>
      <c r="F73" s="90">
        <f t="shared" si="11"/>
        <v>0.46542792810103067</v>
      </c>
      <c r="G73" s="91">
        <f t="shared" si="12"/>
        <v>1850.152905198795</v>
      </c>
      <c r="H73" s="92">
        <f t="shared" si="13"/>
        <v>171.88482935779987</v>
      </c>
      <c r="I73" s="84" t="str">
        <f>IF(H73=MIN(H70:H73),"Minimum","")</f>
        <v/>
      </c>
      <c r="J73" s="77"/>
      <c r="K73" s="87" t="s">
        <v>52</v>
      </c>
      <c r="L73" s="88" t="s">
        <v>62</v>
      </c>
      <c r="M73" s="93">
        <v>0.14777777777777915</v>
      </c>
      <c r="N73" s="89">
        <f>'Data Introduction'!$E$10/Calculus!M73</f>
        <v>541.35338345864159</v>
      </c>
      <c r="O73" s="90">
        <f t="shared" si="14"/>
        <v>3.5173553719008592E-2</v>
      </c>
      <c r="P73" s="90">
        <f t="shared" si="15"/>
        <v>0.37860498126873554</v>
      </c>
      <c r="Q73" s="91">
        <f t="shared" si="16"/>
        <v>2274.4360902255426</v>
      </c>
      <c r="R73" s="92">
        <f t="shared" si="17"/>
        <v>211.30202706766721</v>
      </c>
      <c r="S73" s="84" t="str">
        <f>IF(R73=MIN(R70:R73),"Minimum","")</f>
        <v/>
      </c>
      <c r="T73" s="86"/>
      <c r="U73" s="87" t="s">
        <v>52</v>
      </c>
      <c r="V73" s="88" t="s">
        <v>62</v>
      </c>
      <c r="W73" s="93">
        <v>0.17666666666666545</v>
      </c>
      <c r="X73" s="89">
        <f>'Data Introduction'!$E$10/Calculus!W73</f>
        <v>452.83018867924841</v>
      </c>
      <c r="Y73" s="90">
        <f t="shared" si="18"/>
        <v>4.2049586776859216E-2</v>
      </c>
      <c r="Z73" s="90">
        <f t="shared" si="19"/>
        <v>0.45261798512577428</v>
      </c>
      <c r="AA73" s="91">
        <f t="shared" si="20"/>
        <v>1902.5157232704532</v>
      </c>
      <c r="AB73" s="92">
        <f t="shared" si="21"/>
        <v>176.74949433962385</v>
      </c>
      <c r="AC73" s="84" t="str">
        <f>IF(AB73=MIN(AB70:AB73),"Minimum","")</f>
        <v/>
      </c>
      <c r="AD73" s="86"/>
      <c r="AE73" s="87"/>
      <c r="AF73" s="88"/>
      <c r="AG73" s="93"/>
      <c r="AH73" s="89"/>
      <c r="AI73" s="90"/>
      <c r="AJ73" s="90"/>
      <c r="AK73" s="91"/>
      <c r="AL73" s="92"/>
      <c r="AM73" s="84"/>
    </row>
    <row r="74" spans="1:39" s="4" customFormat="1" ht="13.5" x14ac:dyDescent="0.25">
      <c r="A74" s="94"/>
      <c r="B74" s="94"/>
      <c r="C74" s="95">
        <f>SUM(C70:C73)</f>
        <v>1.4433333333333316</v>
      </c>
      <c r="D74" s="96"/>
      <c r="E74" s="97">
        <f>SUM(E70:E73)</f>
        <v>0.34353719008264427</v>
      </c>
      <c r="F74" s="97">
        <f>SUM(F70:F73)</f>
        <v>3.6978035388577624</v>
      </c>
      <c r="G74" s="98">
        <f>1/(SUM(IF(ISERR(G70),0,1/G70),IF(ISERR(G71),0,1/G71),IF(ISERR(G72),0,1/G72),IF(ISERR(G73),0,1/G73))/COUNT(G70:G73))</f>
        <v>367.12125254364088</v>
      </c>
      <c r="H74" s="98">
        <f>1/(SUM(IF(ISERR(H70),0,1/H70),IF(ISERR(H71),0,1/H71),IF(ISERR(H72),0,1/H72),IF(ISERR(H73),0,1/H73))/COUNT(H70:H73))</f>
        <v>34.106680409911974</v>
      </c>
      <c r="I74" s="86" t="s">
        <v>17</v>
      </c>
      <c r="J74" s="77"/>
      <c r="K74" s="94"/>
      <c r="L74" s="94"/>
      <c r="M74" s="95">
        <f>SUM(M70:M73)</f>
        <v>1.4333333333333338</v>
      </c>
      <c r="N74" s="96"/>
      <c r="O74" s="97">
        <f>SUM(O70:O73)</f>
        <v>0.34115702479338861</v>
      </c>
      <c r="P74" s="97">
        <f>SUM(P70:P73)</f>
        <v>3.6721836529072522</v>
      </c>
      <c r="Q74" s="98">
        <f>1/(SUM(IF(ISERR(Q70),0,1/Q70),IF(ISERR(Q71),0,1/Q71),IF(ISERR(Q72),0,1/Q72),IF(ISERR(Q73),0,1/Q73))/COUNT(Q70:Q73))</f>
        <v>363.93996909258749</v>
      </c>
      <c r="R74" s="98">
        <f>1/(SUM(IF(ISERR(R70),0,1/R70),IF(ISERR(R71),0,1/R71),IF(ISERR(R72),0,1/R72),IF(ISERR(R73),0,1/R73))/COUNT(R70:R73))</f>
        <v>33.811129506207422</v>
      </c>
      <c r="S74" s="86" t="s">
        <v>17</v>
      </c>
      <c r="T74" s="86"/>
      <c r="U74" s="94"/>
      <c r="V74" s="94"/>
      <c r="W74" s="95">
        <f>SUM(W70:W73)</f>
        <v>1.4211111111111094</v>
      </c>
      <c r="X74" s="96"/>
      <c r="Y74" s="97">
        <f>SUM(Y70:Y73)</f>
        <v>0.33824793388429719</v>
      </c>
      <c r="Z74" s="97">
        <f>SUM(Z70:Z73)</f>
        <v>3.6408704589677274</v>
      </c>
      <c r="AA74" s="98">
        <f>1/(SUM(IF(ISERR(AA70),0,1/AA70),IF(ISERR(AA71),0,1/AA71),IF(ISERR(AA72),0,1/AA72),IF(ISERR(AA73),0,1/AA73))/COUNT(AA70:AA73))</f>
        <v>372.46181443780478</v>
      </c>
      <c r="AB74" s="98">
        <f>1/(SUM(IF(ISERR(AB70),0,1/AB70),IF(ISERR(AB71),0,1/AB71),IF(ISERR(AB72),0,1/AB72),IF(ISERR(AB73),0,1/AB73))/COUNT(AB70:AB73))</f>
        <v>34.602834845187949</v>
      </c>
      <c r="AC74" s="86" t="s">
        <v>17</v>
      </c>
      <c r="AD74" s="86"/>
      <c r="AE74" s="94"/>
      <c r="AF74" s="94"/>
      <c r="AG74" s="95"/>
      <c r="AH74" s="96"/>
      <c r="AI74" s="97"/>
      <c r="AJ74" s="97"/>
      <c r="AK74" s="98"/>
      <c r="AL74" s="98"/>
      <c r="AM74" s="86"/>
    </row>
    <row r="75" spans="1:39" s="4" customFormat="1" ht="15.75" thickBot="1" x14ac:dyDescent="0.25">
      <c r="A75" s="99"/>
      <c r="B75" s="99"/>
      <c r="C75" s="99"/>
      <c r="D75" s="99"/>
      <c r="E75" s="100"/>
      <c r="F75" s="100"/>
      <c r="G75" s="99"/>
      <c r="H75" s="99"/>
      <c r="I75" s="100"/>
      <c r="J75" s="77"/>
      <c r="K75" s="86"/>
      <c r="L75" s="86"/>
      <c r="M75" s="86"/>
      <c r="N75" s="86"/>
      <c r="O75" s="86"/>
      <c r="P75" s="77"/>
      <c r="Q75" s="86"/>
      <c r="R75" s="86"/>
      <c r="S75" s="77"/>
      <c r="T75" s="86"/>
      <c r="U75" s="86"/>
      <c r="V75" s="86"/>
      <c r="W75" s="86"/>
      <c r="X75" s="86"/>
      <c r="Y75" s="86"/>
      <c r="Z75" s="86"/>
      <c r="AA75" s="86"/>
      <c r="AB75" s="86"/>
      <c r="AC75" s="86"/>
      <c r="AD75" s="86"/>
      <c r="AE75" s="86"/>
      <c r="AF75" s="86"/>
      <c r="AG75" s="86"/>
      <c r="AH75" s="86"/>
      <c r="AI75" s="86"/>
      <c r="AJ75" s="86"/>
      <c r="AK75" s="86"/>
      <c r="AL75" s="86"/>
      <c r="AM75" s="86"/>
    </row>
    <row r="76" spans="1:39" s="109" customFormat="1" ht="14.25" thickBot="1" x14ac:dyDescent="0.25">
      <c r="A76" s="102" t="s">
        <v>33</v>
      </c>
      <c r="B76" s="103"/>
      <c r="C76" s="104" t="s">
        <v>18</v>
      </c>
      <c r="D76" s="105" t="s">
        <v>11</v>
      </c>
      <c r="E76" s="105" t="s">
        <v>66</v>
      </c>
      <c r="F76" s="105" t="s">
        <v>67</v>
      </c>
      <c r="G76" s="105" t="s">
        <v>68</v>
      </c>
      <c r="H76" s="106" t="s">
        <v>69</v>
      </c>
      <c r="I76" s="107"/>
      <c r="J76" s="108"/>
      <c r="K76" s="102" t="s">
        <v>34</v>
      </c>
      <c r="L76" s="103"/>
      <c r="M76" s="104" t="s">
        <v>18</v>
      </c>
      <c r="N76" s="105" t="s">
        <v>11</v>
      </c>
      <c r="O76" s="105" t="s">
        <v>66</v>
      </c>
      <c r="P76" s="105" t="s">
        <v>67</v>
      </c>
      <c r="Q76" s="105" t="s">
        <v>68</v>
      </c>
      <c r="R76" s="106" t="s">
        <v>69</v>
      </c>
      <c r="S76" s="107"/>
      <c r="T76" s="108"/>
      <c r="U76" s="102"/>
      <c r="V76" s="103"/>
      <c r="W76" s="104"/>
      <c r="X76" s="105"/>
      <c r="Y76" s="105"/>
      <c r="Z76" s="105"/>
      <c r="AA76" s="105"/>
      <c r="AB76" s="106"/>
      <c r="AC76" s="107"/>
      <c r="AD76" s="108"/>
      <c r="AE76" s="102"/>
      <c r="AF76" s="103"/>
      <c r="AG76" s="104"/>
      <c r="AH76" s="105"/>
      <c r="AI76" s="105"/>
      <c r="AJ76" s="105"/>
      <c r="AK76" s="105"/>
      <c r="AL76" s="106"/>
      <c r="AM76" s="107"/>
    </row>
    <row r="77" spans="1:39" s="4" customFormat="1" x14ac:dyDescent="0.2">
      <c r="A77" s="78" t="s">
        <v>8</v>
      </c>
      <c r="B77" s="79" t="s">
        <v>16</v>
      </c>
      <c r="C77" s="85">
        <v>0.79333333333333333</v>
      </c>
      <c r="D77" s="80">
        <f>'Data Introduction'!$E$7/Calculus!C77</f>
        <v>36.554621848739494</v>
      </c>
      <c r="E77" s="81">
        <f>C77/$O$8</f>
        <v>0.1611779762372533</v>
      </c>
      <c r="F77" s="81">
        <f>C77/$O$9</f>
        <v>1.7349052973643633</v>
      </c>
      <c r="G77" s="82">
        <f>D77*$O$8</f>
        <v>179.92532650560224</v>
      </c>
      <c r="H77" s="83">
        <f>D77*$O$9</f>
        <v>16.715609805363023</v>
      </c>
      <c r="I77" s="84" t="str">
        <f>IF(H77=MIN(H77:H80),"Minimum","")</f>
        <v>Minimum</v>
      </c>
      <c r="J77" s="86"/>
      <c r="K77" s="78" t="s">
        <v>8</v>
      </c>
      <c r="L77" s="79" t="s">
        <v>16</v>
      </c>
      <c r="M77" s="85">
        <v>0.82000000000000117</v>
      </c>
      <c r="N77" s="80">
        <f>'Data Introduction'!$E$7/Calculus!M77</f>
        <v>35.365853658536537</v>
      </c>
      <c r="O77" s="81">
        <f>M77/$O$8</f>
        <v>0.1665957233376654</v>
      </c>
      <c r="P77" s="81">
        <f>M77/$O$9</f>
        <v>1.7932214418135881</v>
      </c>
      <c r="Q77" s="82">
        <f>N77*$O$8</f>
        <v>174.07409637533854</v>
      </c>
      <c r="R77" s="83">
        <f>N77*$O$9</f>
        <v>16.172012738521925</v>
      </c>
      <c r="S77" s="84" t="str">
        <f>IF(R77=MIN(R77:R80),"Minimum","")</f>
        <v>Minimum</v>
      </c>
      <c r="T77" s="86"/>
      <c r="U77" s="78"/>
      <c r="V77" s="79"/>
      <c r="W77" s="85"/>
      <c r="X77" s="80"/>
      <c r="Y77" s="81"/>
      <c r="Z77" s="81"/>
      <c r="AA77" s="82"/>
      <c r="AB77" s="83"/>
      <c r="AC77" s="84"/>
      <c r="AD77" s="86"/>
      <c r="AE77" s="78"/>
      <c r="AF77" s="79"/>
      <c r="AG77" s="85"/>
      <c r="AH77" s="80"/>
      <c r="AI77" s="81"/>
      <c r="AJ77" s="81"/>
      <c r="AK77" s="82"/>
      <c r="AL77" s="83"/>
      <c r="AM77" s="84"/>
    </row>
    <row r="78" spans="1:39" s="4" customFormat="1" x14ac:dyDescent="0.2">
      <c r="A78" s="87" t="s">
        <v>7</v>
      </c>
      <c r="B78" s="88" t="s">
        <v>15</v>
      </c>
      <c r="C78" s="93">
        <v>0.15333333333333285</v>
      </c>
      <c r="D78" s="89">
        <f>'Data Introduction'!$E$8/Calculus!C78</f>
        <v>189.13043478260929</v>
      </c>
      <c r="E78" s="90">
        <f t="shared" ref="E78:E80" si="22">C78/$O$8</f>
        <v>3.1152045827368184E-2</v>
      </c>
      <c r="F78" s="90">
        <f t="shared" ref="F78:F80" si="23">C78/$O$9</f>
        <v>0.33531783058302711</v>
      </c>
      <c r="G78" s="91">
        <f t="shared" ref="G78:G80" si="24">D78*$O$8</f>
        <v>930.91799365942325</v>
      </c>
      <c r="H78" s="92">
        <f t="shared" ref="H78:H80" si="25">D78*$O$9</f>
        <v>86.485111601661131</v>
      </c>
      <c r="I78" s="84" t="str">
        <f>IF(H78=MIN(H77:H80),"Minimum","")</f>
        <v/>
      </c>
      <c r="J78" s="86"/>
      <c r="K78" s="87" t="s">
        <v>7</v>
      </c>
      <c r="L78" s="88" t="s">
        <v>15</v>
      </c>
      <c r="M78" s="93">
        <v>0.15777777777777638</v>
      </c>
      <c r="N78" s="89">
        <f>'Data Introduction'!$E$8/Calculus!M78</f>
        <v>183.80281690141007</v>
      </c>
      <c r="O78" s="90">
        <f t="shared" ref="O78:O80" si="26">M78/$O$8</f>
        <v>3.2055003677436647E-2</v>
      </c>
      <c r="P78" s="90">
        <f t="shared" ref="P78:P80" si="27">M78/$O$9</f>
        <v>0.34503718799122884</v>
      </c>
      <c r="Q78" s="91">
        <f t="shared" ref="Q78:Q80" si="28">N78*$O$8</f>
        <v>904.69495158451514</v>
      </c>
      <c r="R78" s="92">
        <f t="shared" ref="R78:R80" si="29">N78*$O$9</f>
        <v>84.048911274854248</v>
      </c>
      <c r="S78" s="84" t="str">
        <f>IF(R78=MIN(R77:R80),"Minimum","")</f>
        <v/>
      </c>
      <c r="T78" s="86"/>
      <c r="U78" s="87"/>
      <c r="V78" s="88"/>
      <c r="W78" s="93"/>
      <c r="X78" s="89"/>
      <c r="Y78" s="90"/>
      <c r="Z78" s="90"/>
      <c r="AA78" s="91"/>
      <c r="AB78" s="92"/>
      <c r="AC78" s="84"/>
      <c r="AD78" s="86"/>
      <c r="AE78" s="87"/>
      <c r="AF78" s="88"/>
      <c r="AG78" s="93"/>
      <c r="AH78" s="89"/>
      <c r="AI78" s="90"/>
      <c r="AJ78" s="90"/>
      <c r="AK78" s="91"/>
      <c r="AL78" s="92"/>
      <c r="AM78" s="84"/>
    </row>
    <row r="79" spans="1:39" s="4" customFormat="1" x14ac:dyDescent="0.2">
      <c r="A79" s="87" t="s">
        <v>6</v>
      </c>
      <c r="B79" s="88" t="s">
        <v>14</v>
      </c>
      <c r="C79" s="93">
        <v>0.47222222222222227</v>
      </c>
      <c r="D79" s="89">
        <f>'Data Introduction'!$E$9/Calculus!C79</f>
        <v>61.411764705882348</v>
      </c>
      <c r="E79" s="90">
        <f t="shared" si="22"/>
        <v>9.5939271569793635E-2</v>
      </c>
      <c r="F79" s="90">
        <f t="shared" si="23"/>
        <v>1.0326817246216449</v>
      </c>
      <c r="G79" s="91">
        <f t="shared" si="24"/>
        <v>302.27454852941179</v>
      </c>
      <c r="H79" s="92">
        <f t="shared" si="25"/>
        <v>28.082224473009877</v>
      </c>
      <c r="I79" s="84" t="str">
        <f>IF(H79=MIN(H77:H80),"Minimum","")</f>
        <v/>
      </c>
      <c r="J79" s="86"/>
      <c r="K79" s="87" t="s">
        <v>6</v>
      </c>
      <c r="L79" s="88" t="s">
        <v>14</v>
      </c>
      <c r="M79" s="93">
        <v>0.4677777777777779</v>
      </c>
      <c r="N79" s="89">
        <f>'Data Introduction'!$E$9/Calculus!M79</f>
        <v>61.995249406175752</v>
      </c>
      <c r="O79" s="90">
        <f t="shared" si="26"/>
        <v>9.5036313719724999E-2</v>
      </c>
      <c r="P79" s="90">
        <f t="shared" si="27"/>
        <v>1.0229623672134414</v>
      </c>
      <c r="Q79" s="91">
        <f t="shared" si="28"/>
        <v>305.146515736342</v>
      </c>
      <c r="R79" s="92">
        <f t="shared" si="29"/>
        <v>28.349038957314001</v>
      </c>
      <c r="S79" s="84" t="str">
        <f>IF(R79=MIN(R77:R80),"Minimum","")</f>
        <v/>
      </c>
      <c r="T79" s="86"/>
      <c r="U79" s="87"/>
      <c r="V79" s="88"/>
      <c r="W79" s="93"/>
      <c r="X79" s="89"/>
      <c r="Y79" s="90"/>
      <c r="Z79" s="90"/>
      <c r="AA79" s="91"/>
      <c r="AB79" s="92"/>
      <c r="AC79" s="84"/>
      <c r="AD79" s="86"/>
      <c r="AE79" s="87"/>
      <c r="AF79" s="88"/>
      <c r="AG79" s="93"/>
      <c r="AH79" s="89"/>
      <c r="AI79" s="90"/>
      <c r="AJ79" s="90"/>
      <c r="AK79" s="91"/>
      <c r="AL79" s="92"/>
      <c r="AM79" s="84"/>
    </row>
    <row r="80" spans="1:39" s="4" customFormat="1" x14ac:dyDescent="0.2">
      <c r="A80" s="87" t="s">
        <v>52</v>
      </c>
      <c r="B80" s="88" t="s">
        <v>62</v>
      </c>
      <c r="C80" s="93">
        <v>0.11777777777777802</v>
      </c>
      <c r="D80" s="89">
        <f>'Data Introduction'!$E$10/Calculus!C80</f>
        <v>679.24528301886653</v>
      </c>
      <c r="E80" s="90">
        <f t="shared" si="22"/>
        <v>2.3928383026819166E-2</v>
      </c>
      <c r="F80" s="90">
        <f t="shared" si="23"/>
        <v>0.25756297131739897</v>
      </c>
      <c r="G80" s="91">
        <f t="shared" si="24"/>
        <v>3343.309905660371</v>
      </c>
      <c r="H80" s="92">
        <f t="shared" si="25"/>
        <v>310.60365389796158</v>
      </c>
      <c r="I80" s="84" t="str">
        <f>IF(H80=MIN(H77:H80),"Minimum","")</f>
        <v/>
      </c>
      <c r="J80" s="86"/>
      <c r="K80" s="87" t="s">
        <v>52</v>
      </c>
      <c r="L80" s="88" t="s">
        <v>62</v>
      </c>
      <c r="M80" s="93">
        <v>0.10555555555555429</v>
      </c>
      <c r="N80" s="89">
        <f>'Data Introduction'!$E$10/Calculus!M80</f>
        <v>757.8947368421143</v>
      </c>
      <c r="O80" s="90">
        <f t="shared" si="26"/>
        <v>2.1445248939130083E-2</v>
      </c>
      <c r="P80" s="90">
        <f t="shared" si="27"/>
        <v>0.23083473844483549</v>
      </c>
      <c r="Q80" s="91">
        <f t="shared" si="28"/>
        <v>3730.4300000000449</v>
      </c>
      <c r="R80" s="92">
        <f t="shared" si="29"/>
        <v>346.56828750720405</v>
      </c>
      <c r="S80" s="84" t="str">
        <f>IF(R80=MIN(R77:R80),"Minimum","")</f>
        <v/>
      </c>
      <c r="T80" s="86"/>
      <c r="U80" s="87"/>
      <c r="V80" s="88"/>
      <c r="W80" s="93"/>
      <c r="X80" s="89"/>
      <c r="Y80" s="90"/>
      <c r="Z80" s="90"/>
      <c r="AA80" s="91"/>
      <c r="AB80" s="92"/>
      <c r="AC80" s="84"/>
      <c r="AD80" s="86"/>
      <c r="AE80" s="87"/>
      <c r="AF80" s="88"/>
      <c r="AG80" s="93"/>
      <c r="AH80" s="89"/>
      <c r="AI80" s="90"/>
      <c r="AJ80" s="90"/>
      <c r="AK80" s="91"/>
      <c r="AL80" s="92"/>
      <c r="AM80" s="84"/>
    </row>
    <row r="81" spans="1:39" s="4" customFormat="1" ht="13.5" x14ac:dyDescent="0.25">
      <c r="A81" s="94"/>
      <c r="B81" s="94"/>
      <c r="C81" s="95">
        <f>SUM(C77:C80)</f>
        <v>1.5366666666666664</v>
      </c>
      <c r="D81" s="96"/>
      <c r="E81" s="97">
        <f>SUM(E77:E80)</f>
        <v>0.31219767666123427</v>
      </c>
      <c r="F81" s="97">
        <f>SUM(F77:F80)</f>
        <v>3.3604678238864345</v>
      </c>
      <c r="G81" s="98">
        <f>1/(SUM(IF(ISERR(G77),0,1/G77),IF(ISERR(G78),0,1/G78),IF(ISERR(G79),0,1/G79),IF(ISERR(G80),0,1/G80))/COUNT(G77:G80))</f>
        <v>390.64692589847397</v>
      </c>
      <c r="H81" s="98">
        <f>1/(SUM(IF(ISERR(H77),0,1/H77),IF(ISERR(H78),0,1/H78),IF(ISERR(H79),0,1/H79),IF(ISERR(H80),0,1/H80))/COUNT(H77:H80))</f>
        <v>36.292286982622961</v>
      </c>
      <c r="I81" s="86" t="s">
        <v>17</v>
      </c>
      <c r="J81" s="77"/>
      <c r="K81" s="94"/>
      <c r="L81" s="94"/>
      <c r="M81" s="95">
        <f>SUM(M77:M80)</f>
        <v>1.5511111111111098</v>
      </c>
      <c r="N81" s="96"/>
      <c r="O81" s="97">
        <f>SUM(O77:O80)</f>
        <v>0.31513228967395712</v>
      </c>
      <c r="P81" s="97">
        <f>SUM(P77:P80)</f>
        <v>3.392055735463094</v>
      </c>
      <c r="Q81" s="98">
        <f>1/(SUM(IF(ISERR(Q77),0,1/Q77),IF(ISERR(Q78),0,1/Q78),IF(ISERR(Q79),0,1/Q79),IF(ISERR(Q80),0,1/Q80))/COUNT(Q77:Q80))</f>
        <v>384.79279824027731</v>
      </c>
      <c r="R81" s="98">
        <f>1/(SUM(IF(ISERR(R77),0,1/R77),IF(ISERR(R78),0,1/R78),IF(ISERR(R79),0,1/R79),IF(ISERR(R80),0,1/R80))/COUNT(R77:R80))</f>
        <v>35.748420726628396</v>
      </c>
      <c r="S81" s="86" t="s">
        <v>17</v>
      </c>
      <c r="T81" s="86"/>
      <c r="U81" s="94"/>
      <c r="V81" s="94"/>
      <c r="W81" s="95"/>
      <c r="X81" s="96"/>
      <c r="Y81" s="97"/>
      <c r="Z81" s="97"/>
      <c r="AA81" s="98"/>
      <c r="AB81" s="98"/>
      <c r="AC81" s="86"/>
      <c r="AD81" s="86"/>
      <c r="AE81" s="94"/>
      <c r="AF81" s="94"/>
      <c r="AG81" s="95"/>
      <c r="AH81" s="96"/>
      <c r="AI81" s="97"/>
      <c r="AJ81" s="97"/>
      <c r="AK81" s="98"/>
      <c r="AL81" s="98"/>
      <c r="AM81" s="86"/>
    </row>
    <row r="82" spans="1:39" s="4" customFormat="1" ht="15.75" thickBot="1" x14ac:dyDescent="0.25">
      <c r="A82" s="99"/>
      <c r="B82" s="99"/>
      <c r="C82" s="99"/>
      <c r="D82" s="99"/>
      <c r="E82" s="100"/>
      <c r="F82" s="100"/>
      <c r="G82" s="173"/>
      <c r="H82" s="173"/>
      <c r="I82" s="100"/>
      <c r="J82" s="86"/>
      <c r="K82" s="86"/>
      <c r="L82" s="86"/>
      <c r="M82" s="86"/>
      <c r="N82" s="86"/>
      <c r="O82" s="86"/>
      <c r="P82" s="86"/>
      <c r="Q82" s="173"/>
      <c r="R82" s="173"/>
      <c r="S82" s="86"/>
      <c r="T82" s="86"/>
      <c r="U82" s="86"/>
      <c r="V82" s="86"/>
      <c r="W82" s="86"/>
      <c r="X82" s="86"/>
      <c r="Y82" s="86"/>
      <c r="Z82" s="86"/>
      <c r="AA82" s="173"/>
      <c r="AB82" s="173"/>
      <c r="AC82" s="86"/>
      <c r="AD82" s="86"/>
      <c r="AE82" s="86"/>
      <c r="AF82" s="86"/>
      <c r="AG82" s="86"/>
      <c r="AH82" s="86"/>
      <c r="AI82" s="86"/>
      <c r="AJ82" s="86"/>
      <c r="AK82" s="86"/>
      <c r="AL82" s="86"/>
      <c r="AM82" s="86"/>
    </row>
    <row r="83" spans="1:39" s="109" customFormat="1" ht="14.25" thickBot="1" x14ac:dyDescent="0.25">
      <c r="A83" s="102" t="s">
        <v>27</v>
      </c>
      <c r="B83" s="103"/>
      <c r="C83" s="104" t="s">
        <v>18</v>
      </c>
      <c r="D83" s="105" t="s">
        <v>11</v>
      </c>
      <c r="E83" s="105" t="s">
        <v>66</v>
      </c>
      <c r="F83" s="105" t="s">
        <v>67</v>
      </c>
      <c r="G83" s="105" t="s">
        <v>68</v>
      </c>
      <c r="H83" s="106" t="s">
        <v>69</v>
      </c>
      <c r="I83" s="107"/>
      <c r="J83" s="108"/>
      <c r="K83" s="102" t="s">
        <v>28</v>
      </c>
      <c r="L83" s="103"/>
      <c r="M83" s="104" t="s">
        <v>18</v>
      </c>
      <c r="N83" s="105" t="s">
        <v>11</v>
      </c>
      <c r="O83" s="105" t="s">
        <v>66</v>
      </c>
      <c r="P83" s="105" t="s">
        <v>67</v>
      </c>
      <c r="Q83" s="105" t="s">
        <v>68</v>
      </c>
      <c r="R83" s="106" t="s">
        <v>69</v>
      </c>
      <c r="S83" s="107"/>
      <c r="T83" s="108"/>
      <c r="U83" s="102"/>
      <c r="V83" s="103"/>
      <c r="W83" s="104"/>
      <c r="X83" s="105"/>
      <c r="Y83" s="105"/>
      <c r="Z83" s="105"/>
      <c r="AA83" s="105"/>
      <c r="AB83" s="106"/>
      <c r="AC83" s="107"/>
      <c r="AD83" s="108"/>
      <c r="AE83" s="102"/>
      <c r="AF83" s="103"/>
      <c r="AG83" s="104"/>
      <c r="AH83" s="105"/>
      <c r="AI83" s="105"/>
      <c r="AJ83" s="105"/>
      <c r="AK83" s="105"/>
      <c r="AL83" s="106"/>
      <c r="AM83" s="107"/>
    </row>
    <row r="84" spans="1:39" s="4" customFormat="1" x14ac:dyDescent="0.2">
      <c r="A84" s="78" t="s">
        <v>8</v>
      </c>
      <c r="B84" s="79" t="s">
        <v>16</v>
      </c>
      <c r="C84" s="85">
        <v>0.65166666666666673</v>
      </c>
      <c r="D84" s="80">
        <f>'Data Introduction'!$E$7/Calculus!C84</f>
        <v>44.501278772378512</v>
      </c>
      <c r="E84" s="81">
        <f>C84/$E$13</f>
        <v>0.14557865342848281</v>
      </c>
      <c r="F84" s="81">
        <f>C84/$E$14</f>
        <v>1.5669955840894207</v>
      </c>
      <c r="G84" s="82">
        <f>D84*$E$13</f>
        <v>199.20502983802214</v>
      </c>
      <c r="H84" s="83">
        <f>D84*$E$14</f>
        <v>18.506752855242961</v>
      </c>
      <c r="I84" s="84" t="str">
        <f>IF(H84=MIN(H84:H87),"Minimum","")</f>
        <v>Minimum</v>
      </c>
      <c r="J84" s="86"/>
      <c r="K84" s="78" t="s">
        <v>8</v>
      </c>
      <c r="L84" s="79" t="s">
        <v>16</v>
      </c>
      <c r="M84" s="85">
        <v>0.67444444444444374</v>
      </c>
      <c r="N84" s="80">
        <f>'Data Introduction'!$E$7/Calculus!M84</f>
        <v>42.998352553542055</v>
      </c>
      <c r="O84" s="81">
        <f>M84/$E$13</f>
        <v>0.15066708035991297</v>
      </c>
      <c r="P84" s="81">
        <f>M84/$E$14</f>
        <v>1.6217669557413081</v>
      </c>
      <c r="Q84" s="82">
        <f>N84*$E$13</f>
        <v>192.47734761120284</v>
      </c>
      <c r="R84" s="83">
        <f>N84*$E$14</f>
        <v>17.88173072421748</v>
      </c>
      <c r="S84" s="84" t="str">
        <f>IF(R84=MIN(R84:R87),"Minimum","")</f>
        <v>Minimum</v>
      </c>
      <c r="T84" s="86"/>
      <c r="U84" s="78"/>
      <c r="V84" s="79"/>
      <c r="W84" s="85"/>
      <c r="X84" s="80"/>
      <c r="Y84" s="81"/>
      <c r="Z84" s="81"/>
      <c r="AA84" s="82"/>
      <c r="AB84" s="83"/>
      <c r="AC84" s="84"/>
      <c r="AD84" s="86"/>
      <c r="AE84" s="78"/>
      <c r="AF84" s="79"/>
      <c r="AG84" s="85"/>
      <c r="AH84" s="80"/>
      <c r="AI84" s="81"/>
      <c r="AJ84" s="81"/>
      <c r="AK84" s="82"/>
      <c r="AL84" s="83"/>
      <c r="AM84" s="84"/>
    </row>
    <row r="85" spans="1:39" s="4" customFormat="1" x14ac:dyDescent="0.2">
      <c r="A85" s="87" t="s">
        <v>7</v>
      </c>
      <c r="B85" s="88" t="s">
        <v>15</v>
      </c>
      <c r="C85" s="93">
        <v>0.5375000000000002</v>
      </c>
      <c r="D85" s="89">
        <f>'Data Introduction'!$E$8/Calculus!C85</f>
        <v>53.953488372093005</v>
      </c>
      <c r="E85" s="90">
        <f t="shared" ref="E85:E87" si="30">C85/$E$13</f>
        <v>0.12007446478436244</v>
      </c>
      <c r="F85" s="90">
        <f t="shared" ref="F85:F87" si="31">C85/$E$14</f>
        <v>1.2924707822732437</v>
      </c>
      <c r="G85" s="91">
        <f t="shared" ref="G85:G87" si="32">D85*$E$13</f>
        <v>241.51679586563299</v>
      </c>
      <c r="H85" s="92">
        <f t="shared" ref="H85:H87" si="33">D85*$E$14</f>
        <v>22.437644546976735</v>
      </c>
      <c r="I85" s="84" t="str">
        <f>IF(H85=MIN(H84:H87),"Minimum","")</f>
        <v/>
      </c>
      <c r="J85" s="86"/>
      <c r="K85" s="87" t="s">
        <v>7</v>
      </c>
      <c r="L85" s="88" t="s">
        <v>15</v>
      </c>
      <c r="M85" s="93">
        <v>0.5055555555555552</v>
      </c>
      <c r="N85" s="89">
        <f>'Data Introduction'!$E$8/Calculus!M85</f>
        <v>57.3626373626374</v>
      </c>
      <c r="O85" s="90">
        <f t="shared" ref="O85:O87" si="34">M85/$E$13</f>
        <v>0.11293825628296611</v>
      </c>
      <c r="P85" s="90">
        <f t="shared" ref="P85:P87" si="35">M85/$E$14</f>
        <v>1.2156572732492512</v>
      </c>
      <c r="Q85" s="91">
        <f t="shared" ref="Q85:Q87" si="36">N85*$E$13</f>
        <v>256.7774725274727</v>
      </c>
      <c r="R85" s="92">
        <f t="shared" ref="R85:R87" si="37">N85*$E$14</f>
        <v>23.855407801318695</v>
      </c>
      <c r="S85" s="84" t="str">
        <f>IF(R85=MIN(R84:R87),"Minimum","")</f>
        <v/>
      </c>
      <c r="T85" s="86"/>
      <c r="U85" s="87"/>
      <c r="V85" s="88"/>
      <c r="W85" s="93"/>
      <c r="X85" s="89"/>
      <c r="Y85" s="90"/>
      <c r="Z85" s="90"/>
      <c r="AA85" s="91"/>
      <c r="AB85" s="92"/>
      <c r="AC85" s="84"/>
      <c r="AD85" s="86"/>
      <c r="AE85" s="87"/>
      <c r="AF85" s="88"/>
      <c r="AG85" s="93"/>
      <c r="AH85" s="89"/>
      <c r="AI85" s="90"/>
      <c r="AJ85" s="90"/>
      <c r="AK85" s="91"/>
      <c r="AL85" s="92"/>
      <c r="AM85" s="84"/>
    </row>
    <row r="86" spans="1:39" s="4" customFormat="1" x14ac:dyDescent="0.2">
      <c r="A86" s="87" t="s">
        <v>6</v>
      </c>
      <c r="B86" s="88" t="s">
        <v>14</v>
      </c>
      <c r="C86" s="93">
        <v>0.61666666666666659</v>
      </c>
      <c r="D86" s="89">
        <f>'Data Introduction'!$E$9/Calculus!C86</f>
        <v>47.027027027027032</v>
      </c>
      <c r="E86" s="90">
        <f t="shared" si="30"/>
        <v>0.13775985107043126</v>
      </c>
      <c r="F86" s="90">
        <f t="shared" si="31"/>
        <v>1.4828346959413952</v>
      </c>
      <c r="G86" s="91">
        <f t="shared" si="32"/>
        <v>210.51126126126127</v>
      </c>
      <c r="H86" s="92">
        <f t="shared" si="33"/>
        <v>19.557136125405403</v>
      </c>
      <c r="I86" s="84" t="str">
        <f>IF(H86=MIN(H84:H87),"Minimum","")</f>
        <v/>
      </c>
      <c r="J86" s="86"/>
      <c r="K86" s="87" t="s">
        <v>6</v>
      </c>
      <c r="L86" s="88" t="s">
        <v>14</v>
      </c>
      <c r="M86" s="93">
        <v>0.60999999999999988</v>
      </c>
      <c r="N86" s="89">
        <f>'Data Introduction'!$E$9/Calculus!M86</f>
        <v>47.54098360655739</v>
      </c>
      <c r="O86" s="90">
        <f t="shared" si="34"/>
        <v>0.13627055538318333</v>
      </c>
      <c r="P86" s="90">
        <f t="shared" si="35"/>
        <v>1.4668040505798665</v>
      </c>
      <c r="Q86" s="91">
        <f t="shared" si="36"/>
        <v>212.8119307832423</v>
      </c>
      <c r="R86" s="92">
        <f t="shared" si="37"/>
        <v>19.77087531803279</v>
      </c>
      <c r="S86" s="84" t="str">
        <f>IF(R86=MIN(R84:R87),"Minimum","")</f>
        <v/>
      </c>
      <c r="T86" s="86"/>
      <c r="U86" s="87"/>
      <c r="V86" s="88"/>
      <c r="W86" s="93"/>
      <c r="X86" s="89"/>
      <c r="Y86" s="90"/>
      <c r="Z86" s="90"/>
      <c r="AA86" s="91"/>
      <c r="AB86" s="92"/>
      <c r="AC86" s="84"/>
      <c r="AD86" s="86"/>
      <c r="AE86" s="87"/>
      <c r="AF86" s="88"/>
      <c r="AG86" s="93"/>
      <c r="AH86" s="89"/>
      <c r="AI86" s="90"/>
      <c r="AJ86" s="90"/>
      <c r="AK86" s="91"/>
      <c r="AL86" s="92"/>
      <c r="AM86" s="84"/>
    </row>
    <row r="87" spans="1:39" s="4" customFormat="1" x14ac:dyDescent="0.2">
      <c r="A87" s="87" t="s">
        <v>52</v>
      </c>
      <c r="B87" s="88" t="s">
        <v>62</v>
      </c>
      <c r="C87" s="93">
        <v>0.47833333333333289</v>
      </c>
      <c r="D87" s="89">
        <f>'Data Introduction'!$E$10/Calculus!C87</f>
        <v>167.24738675958204</v>
      </c>
      <c r="E87" s="90">
        <f t="shared" si="30"/>
        <v>0.10685696556003714</v>
      </c>
      <c r="F87" s="90">
        <f t="shared" si="31"/>
        <v>1.1501988046896758</v>
      </c>
      <c r="G87" s="91">
        <f t="shared" si="32"/>
        <v>748.66434378629572</v>
      </c>
      <c r="H87" s="92">
        <f t="shared" si="33"/>
        <v>69.553193477351968</v>
      </c>
      <c r="I87" s="84" t="str">
        <f>IF(H87=MIN(H84:H87),"Minimum","")</f>
        <v/>
      </c>
      <c r="J87" s="86"/>
      <c r="K87" s="87" t="s">
        <v>52</v>
      </c>
      <c r="L87" s="88" t="s">
        <v>62</v>
      </c>
      <c r="M87" s="93">
        <v>0.42888888888888882</v>
      </c>
      <c r="N87" s="89">
        <f>'Data Introduction'!$E$10/Calculus!M87</f>
        <v>186.52849740932646</v>
      </c>
      <c r="O87" s="90">
        <f t="shared" si="34"/>
        <v>9.5811355879615256E-2</v>
      </c>
      <c r="P87" s="90">
        <f t="shared" si="35"/>
        <v>1.031304851591673</v>
      </c>
      <c r="Q87" s="91">
        <f t="shared" si="36"/>
        <v>834.97409326424884</v>
      </c>
      <c r="R87" s="92">
        <f t="shared" si="37"/>
        <v>77.571631585492227</v>
      </c>
      <c r="S87" s="84" t="str">
        <f>IF(R87=MIN(R84:R87),"Minimum","")</f>
        <v/>
      </c>
      <c r="T87" s="86"/>
      <c r="U87" s="87"/>
      <c r="V87" s="88"/>
      <c r="W87" s="93"/>
      <c r="X87" s="89"/>
      <c r="Y87" s="90"/>
      <c r="Z87" s="90"/>
      <c r="AA87" s="91"/>
      <c r="AB87" s="92"/>
      <c r="AC87" s="84"/>
      <c r="AD87" s="86"/>
      <c r="AE87" s="87"/>
      <c r="AF87" s="88"/>
      <c r="AG87" s="93"/>
      <c r="AH87" s="89"/>
      <c r="AI87" s="90"/>
      <c r="AJ87" s="90"/>
      <c r="AK87" s="91"/>
      <c r="AL87" s="92"/>
      <c r="AM87" s="84"/>
    </row>
    <row r="88" spans="1:39" s="4" customFormat="1" ht="13.5" x14ac:dyDescent="0.25">
      <c r="A88" s="94"/>
      <c r="B88" s="94"/>
      <c r="C88" s="95">
        <f>SUM(C84:C87)</f>
        <v>2.2841666666666667</v>
      </c>
      <c r="D88" s="96"/>
      <c r="E88" s="97">
        <f>SUM(E84:E87)</f>
        <v>0.51026993484331362</v>
      </c>
      <c r="F88" s="97">
        <f>SUM(F84:F87)</f>
        <v>5.4924998669937359</v>
      </c>
      <c r="G88" s="98">
        <f>1/(SUM(IF(ISERR(G84),0,1/G84),IF(ISERR(G85),0,1/G85),IF(ISERR(G86),0,1/G86),IF(ISERR(G87),0,1/G87))/COUNT(G84:G87))</f>
        <v>262.35522387012338</v>
      </c>
      <c r="H88" s="98">
        <f>1/(SUM(IF(ISERR(H84),0,1/H84),IF(ISERR(H85),0,1/H85),IF(ISERR(H86),0,1/H86),IF(ISERR(H87),0,1/H87))/COUNT(H84:H87))</f>
        <v>24.373597857415028</v>
      </c>
      <c r="I88" s="86" t="s">
        <v>17</v>
      </c>
      <c r="J88" s="77"/>
      <c r="K88" s="94"/>
      <c r="L88" s="94"/>
      <c r="M88" s="95">
        <f>SUM(M84:M87)</f>
        <v>2.2188888888888876</v>
      </c>
      <c r="N88" s="96"/>
      <c r="O88" s="97">
        <f>SUM(O84:O87)</f>
        <v>0.4956872479056777</v>
      </c>
      <c r="P88" s="97">
        <f>SUM(P84:P87)</f>
        <v>5.3355331311620988</v>
      </c>
      <c r="Q88" s="98">
        <f>1/(SUM(IF(ISERR(Q84),0,1/Q84),IF(ISERR(Q85),0,1/Q85),IF(ISERR(Q86),0,1/Q86),IF(ISERR(Q87),0,1/Q87))/COUNT(Q84:Q87))</f>
        <v>266.9074917543586</v>
      </c>
      <c r="R88" s="98">
        <f>1/(SUM(IF(ISERR(R84),0,1/R84),IF(ISERR(R85),0,1/R85),IF(ISERR(R86),0,1/R86),IF(ISERR(R87),0,1/R87))/COUNT(R84:R87))</f>
        <v>24.796517382754843</v>
      </c>
      <c r="S88" s="86" t="s">
        <v>17</v>
      </c>
      <c r="T88" s="86"/>
      <c r="U88" s="94"/>
      <c r="V88" s="94"/>
      <c r="W88" s="95"/>
      <c r="X88" s="96"/>
      <c r="Y88" s="97"/>
      <c r="Z88" s="97"/>
      <c r="AA88" s="98"/>
      <c r="AB88" s="98"/>
      <c r="AC88" s="86"/>
      <c r="AD88" s="86"/>
      <c r="AE88" s="94"/>
      <c r="AF88" s="94"/>
      <c r="AG88" s="95"/>
      <c r="AH88" s="96"/>
      <c r="AI88" s="97"/>
      <c r="AJ88" s="97"/>
      <c r="AK88" s="98"/>
      <c r="AL88" s="98"/>
      <c r="AM88" s="86"/>
    </row>
    <row r="89" spans="1:39" s="4" customFormat="1" x14ac:dyDescent="0.2">
      <c r="A89" s="94"/>
      <c r="B89" s="94"/>
      <c r="C89" s="97"/>
      <c r="D89" s="97"/>
      <c r="E89" s="97"/>
      <c r="F89" s="97"/>
      <c r="G89" s="97"/>
      <c r="H89" s="97"/>
      <c r="I89" s="97"/>
      <c r="J89" s="86"/>
      <c r="K89" s="94"/>
      <c r="L89" s="94"/>
      <c r="M89" s="97"/>
      <c r="N89" s="97"/>
      <c r="O89" s="97"/>
      <c r="P89" s="97"/>
      <c r="Q89" s="97"/>
      <c r="R89" s="97"/>
      <c r="S89" s="97"/>
      <c r="T89" s="86"/>
      <c r="U89" s="86"/>
      <c r="V89" s="86"/>
      <c r="W89" s="86"/>
      <c r="X89" s="86"/>
      <c r="Y89" s="86"/>
      <c r="Z89" s="86"/>
      <c r="AA89" s="86"/>
      <c r="AB89" s="86"/>
      <c r="AC89" s="86"/>
      <c r="AD89" s="86"/>
      <c r="AE89" s="86"/>
      <c r="AF89" s="86"/>
      <c r="AG89" s="86"/>
      <c r="AH89" s="86"/>
      <c r="AI89" s="86"/>
      <c r="AJ89" s="86"/>
      <c r="AK89" s="86"/>
      <c r="AL89" s="86"/>
      <c r="AM89" s="86"/>
    </row>
    <row r="90" spans="1:39" s="4" customFormat="1" ht="13.5" x14ac:dyDescent="0.25">
      <c r="A90" s="101" t="s">
        <v>24</v>
      </c>
      <c r="B90" s="101">
        <v>1</v>
      </c>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row>
    <row r="91" spans="1:39" s="4" customFormat="1" ht="13.5" thickBot="1" x14ac:dyDescent="0.25">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row>
    <row r="92" spans="1:39" s="109" customFormat="1" ht="14.25" thickBot="1" x14ac:dyDescent="0.25">
      <c r="A92" s="102"/>
      <c r="B92" s="103"/>
      <c r="C92" s="104"/>
      <c r="D92" s="105"/>
      <c r="E92" s="105"/>
      <c r="F92" s="105"/>
      <c r="G92" s="105"/>
      <c r="H92" s="106"/>
      <c r="I92" s="107"/>
      <c r="J92" s="108"/>
      <c r="K92" s="102" t="s">
        <v>46</v>
      </c>
      <c r="L92" s="103"/>
      <c r="M92" s="104" t="s">
        <v>18</v>
      </c>
      <c r="N92" s="105" t="s">
        <v>11</v>
      </c>
      <c r="O92" s="105" t="s">
        <v>66</v>
      </c>
      <c r="P92" s="105" t="s">
        <v>67</v>
      </c>
      <c r="Q92" s="105" t="s">
        <v>68</v>
      </c>
      <c r="R92" s="106" t="s">
        <v>69</v>
      </c>
      <c r="S92" s="107"/>
      <c r="T92" s="108"/>
      <c r="U92" s="102" t="s">
        <v>47</v>
      </c>
      <c r="V92" s="103"/>
      <c r="W92" s="104" t="s">
        <v>18</v>
      </c>
      <c r="X92" s="105" t="s">
        <v>11</v>
      </c>
      <c r="Y92" s="105" t="s">
        <v>66</v>
      </c>
      <c r="Z92" s="105" t="s">
        <v>67</v>
      </c>
      <c r="AA92" s="105" t="s">
        <v>68</v>
      </c>
      <c r="AB92" s="106" t="s">
        <v>69</v>
      </c>
      <c r="AC92" s="107"/>
      <c r="AD92" s="108"/>
      <c r="AE92" s="102"/>
      <c r="AF92" s="103"/>
      <c r="AG92" s="104"/>
      <c r="AH92" s="105"/>
      <c r="AI92" s="105"/>
      <c r="AJ92" s="105"/>
      <c r="AK92" s="105"/>
      <c r="AL92" s="106"/>
      <c r="AM92" s="107"/>
    </row>
    <row r="93" spans="1:39" s="4" customFormat="1" x14ac:dyDescent="0.2">
      <c r="A93" s="78"/>
      <c r="B93" s="79"/>
      <c r="C93" s="85"/>
      <c r="D93" s="80"/>
      <c r="E93" s="81"/>
      <c r="F93" s="81"/>
      <c r="G93" s="82"/>
      <c r="H93" s="83"/>
      <c r="I93" s="84"/>
      <c r="J93" s="77"/>
      <c r="K93" s="78" t="s">
        <v>8</v>
      </c>
      <c r="L93" s="79" t="s">
        <v>16</v>
      </c>
      <c r="M93" s="85">
        <v>1.3333333333333051E-3</v>
      </c>
      <c r="N93" s="80">
        <f>'Data Introduction'!$E$7/Calculus!M93</f>
        <v>21750.000000000462</v>
      </c>
      <c r="O93" s="81">
        <f>M93/$E$8</f>
        <v>3.5346097201766552E-4</v>
      </c>
      <c r="P93" s="81">
        <f>M93/$E$9</f>
        <v>3.8046222386012938E-3</v>
      </c>
      <c r="Q93" s="82">
        <f>N93*$E$8</f>
        <v>82045.833333335089</v>
      </c>
      <c r="R93" s="83">
        <f>N93*$E$9</f>
        <v>7622.3073360001617</v>
      </c>
      <c r="S93" s="84" t="str">
        <f>IF(R93=MIN(R93:R96),"Minimum","")</f>
        <v/>
      </c>
      <c r="T93" s="86"/>
      <c r="U93" s="78" t="s">
        <v>8</v>
      </c>
      <c r="V93" s="79" t="s">
        <v>16</v>
      </c>
      <c r="W93" s="85">
        <v>1.000000000000038E-3</v>
      </c>
      <c r="X93" s="80">
        <f>'Data Introduction'!$E$7/Calculus!W93</f>
        <v>28999.999999998898</v>
      </c>
      <c r="Y93" s="81">
        <f>W93/$E$8</f>
        <v>2.6509572901326482E-4</v>
      </c>
      <c r="Z93" s="81">
        <f>W93/$E$9</f>
        <v>2.853466678951139E-3</v>
      </c>
      <c r="AA93" s="82">
        <f>X93*$E$8</f>
        <v>109394.44444444029</v>
      </c>
      <c r="AB93" s="83">
        <f>X93*$E$9</f>
        <v>10163.076447999614</v>
      </c>
      <c r="AC93" s="84" t="str">
        <f>IF(AB93=MIN(AB93:AB96),"Minimum","")</f>
        <v/>
      </c>
      <c r="AD93" s="86"/>
      <c r="AE93" s="78"/>
      <c r="AF93" s="79"/>
      <c r="AG93" s="85"/>
      <c r="AH93" s="80"/>
      <c r="AI93" s="81"/>
      <c r="AJ93" s="81"/>
      <c r="AK93" s="82"/>
      <c r="AL93" s="83"/>
      <c r="AM93" s="84"/>
    </row>
    <row r="94" spans="1:39" s="4" customFormat="1" x14ac:dyDescent="0.2">
      <c r="A94" s="87"/>
      <c r="B94" s="88"/>
      <c r="C94" s="93"/>
      <c r="D94" s="89"/>
      <c r="E94" s="90"/>
      <c r="F94" s="90"/>
      <c r="G94" s="91"/>
      <c r="H94" s="92"/>
      <c r="I94" s="84"/>
      <c r="J94" s="77"/>
      <c r="K94" s="87" t="s">
        <v>7</v>
      </c>
      <c r="L94" s="88" t="s">
        <v>15</v>
      </c>
      <c r="M94" s="93">
        <v>3.3333333333326697E-4</v>
      </c>
      <c r="N94" s="89">
        <f>'Data Introduction'!$E$8/Calculus!M94</f>
        <v>87000.000000017317</v>
      </c>
      <c r="O94" s="90">
        <f t="shared" ref="O94:O96" si="38">M94/$E$8</f>
        <v>8.8365243004400658E-5</v>
      </c>
      <c r="P94" s="90">
        <f t="shared" ref="P94:P96" si="39">M94/$E$9</f>
        <v>9.5115555965015431E-4</v>
      </c>
      <c r="Q94" s="91">
        <f t="shared" ref="Q94:Q96" si="40">N94*$E$8</f>
        <v>328183.33333339868</v>
      </c>
      <c r="R94" s="92">
        <f t="shared" ref="R94:R96" si="41">N94*$E$9</f>
        <v>30489.229344006068</v>
      </c>
      <c r="S94" s="84" t="str">
        <f>IF(R94=MIN(R93:R96),"Minimum","")</f>
        <v/>
      </c>
      <c r="T94" s="86"/>
      <c r="U94" s="87" t="s">
        <v>7</v>
      </c>
      <c r="V94" s="88" t="s">
        <v>15</v>
      </c>
      <c r="W94" s="93">
        <v>1.6666666666665722E-3</v>
      </c>
      <c r="X94" s="89">
        <f>'Data Introduction'!$E$8/Calculus!W94</f>
        <v>17400.000000000986</v>
      </c>
      <c r="Y94" s="90">
        <f t="shared" ref="Y94:Y96" si="42">W94/$E$8</f>
        <v>4.4182621502206621E-4</v>
      </c>
      <c r="Z94" s="90">
        <f t="shared" ref="Z94:Z96" si="43">W94/$E$9</f>
        <v>4.7557777982514485E-3</v>
      </c>
      <c r="AA94" s="91">
        <f t="shared" ref="AA94:AA96" si="44">X94*$E$8</f>
        <v>65636.666666670397</v>
      </c>
      <c r="AB94" s="92">
        <f t="shared" ref="AB94:AB96" si="45">X94*$E$9</f>
        <v>6097.8458688003457</v>
      </c>
      <c r="AC94" s="84" t="str">
        <f>IF(AB94=MIN(AB93:AB96),"Minimum","")</f>
        <v/>
      </c>
      <c r="AD94" s="86"/>
      <c r="AE94" s="87"/>
      <c r="AF94" s="88"/>
      <c r="AG94" s="93"/>
      <c r="AH94" s="89"/>
      <c r="AI94" s="90"/>
      <c r="AJ94" s="90"/>
      <c r="AK94" s="91"/>
      <c r="AL94" s="92"/>
      <c r="AM94" s="84"/>
    </row>
    <row r="95" spans="1:39" s="4" customFormat="1" x14ac:dyDescent="0.2">
      <c r="A95" s="87"/>
      <c r="B95" s="88"/>
      <c r="C95" s="93"/>
      <c r="D95" s="89"/>
      <c r="E95" s="90"/>
      <c r="F95" s="90"/>
      <c r="G95" s="91"/>
      <c r="H95" s="92"/>
      <c r="I95" s="84"/>
      <c r="J95" s="77"/>
      <c r="K95" s="87" t="s">
        <v>6</v>
      </c>
      <c r="L95" s="88" t="s">
        <v>14</v>
      </c>
      <c r="M95" s="93">
        <v>3.3333333333326713E-4</v>
      </c>
      <c r="N95" s="89">
        <f>'Data Introduction'!$E$9/Calculus!M95</f>
        <v>87000.000000017273</v>
      </c>
      <c r="O95" s="90">
        <f t="shared" si="38"/>
        <v>8.8365243004400699E-5</v>
      </c>
      <c r="P95" s="90">
        <f t="shared" si="39"/>
        <v>9.5115555965015475E-4</v>
      </c>
      <c r="Q95" s="91">
        <f t="shared" si="40"/>
        <v>328183.33333339851</v>
      </c>
      <c r="R95" s="92">
        <f t="shared" si="41"/>
        <v>30489.229344006053</v>
      </c>
      <c r="S95" s="84" t="str">
        <f>IF(R95=MIN(R93:R96),"Minimum","")</f>
        <v/>
      </c>
      <c r="T95" s="86"/>
      <c r="U95" s="87" t="s">
        <v>6</v>
      </c>
      <c r="V95" s="88" t="s">
        <v>14</v>
      </c>
      <c r="W95" s="93">
        <v>6.6666666666653394E-4</v>
      </c>
      <c r="X95" s="89">
        <f>'Data Introduction'!$E$9/Calculus!W95</f>
        <v>43500.000000008658</v>
      </c>
      <c r="Y95" s="90">
        <f t="shared" si="42"/>
        <v>1.7673048600880132E-4</v>
      </c>
      <c r="Z95" s="90">
        <f t="shared" si="43"/>
        <v>1.9023111193003086E-3</v>
      </c>
      <c r="AA95" s="91">
        <f t="shared" si="44"/>
        <v>164091.66666669934</v>
      </c>
      <c r="AB95" s="92">
        <f t="shared" si="45"/>
        <v>15244.614672003034</v>
      </c>
      <c r="AC95" s="84" t="str">
        <f>IF(AB95=MIN(AB93:AB96),"Minimum","")</f>
        <v/>
      </c>
      <c r="AD95" s="86"/>
      <c r="AE95" s="87"/>
      <c r="AF95" s="88"/>
      <c r="AG95" s="93"/>
      <c r="AH95" s="89"/>
      <c r="AI95" s="90"/>
      <c r="AJ95" s="90"/>
      <c r="AK95" s="91"/>
      <c r="AL95" s="92"/>
      <c r="AM95" s="84"/>
    </row>
    <row r="96" spans="1:39" s="4" customFormat="1" x14ac:dyDescent="0.2">
      <c r="A96" s="87"/>
      <c r="B96" s="88"/>
      <c r="C96" s="93"/>
      <c r="D96" s="89"/>
      <c r="E96" s="90"/>
      <c r="F96" s="90"/>
      <c r="G96" s="91"/>
      <c r="H96" s="92"/>
      <c r="I96" s="84"/>
      <c r="J96" s="77"/>
      <c r="K96" s="87" t="s">
        <v>52</v>
      </c>
      <c r="L96" s="88" t="s">
        <v>62</v>
      </c>
      <c r="M96" s="93">
        <v>0.34499999999999981</v>
      </c>
      <c r="N96" s="89">
        <f>'Data Introduction'!$E$10/Calculus!M96</f>
        <v>231.88405797101461</v>
      </c>
      <c r="O96" s="90">
        <f t="shared" si="38"/>
        <v>9.145802650957284E-2</v>
      </c>
      <c r="P96" s="90">
        <f t="shared" si="39"/>
        <v>0.98444600423810513</v>
      </c>
      <c r="Q96" s="91">
        <f t="shared" si="40"/>
        <v>874.71819645732739</v>
      </c>
      <c r="R96" s="92">
        <f t="shared" si="41"/>
        <v>81.263979594202937</v>
      </c>
      <c r="S96" s="84" t="str">
        <f>IF(R96=MIN(R93:R96),"Minimum","")</f>
        <v>Minimum</v>
      </c>
      <c r="T96" s="86"/>
      <c r="U96" s="87" t="s">
        <v>52</v>
      </c>
      <c r="V96" s="88" t="s">
        <v>62</v>
      </c>
      <c r="W96" s="93">
        <v>0.31266666666666704</v>
      </c>
      <c r="X96" s="89">
        <f>'Data Introduction'!$E$10/Calculus!W96</f>
        <v>255.8635394456287</v>
      </c>
      <c r="Y96" s="90">
        <f t="shared" si="42"/>
        <v>8.2886597938144416E-2</v>
      </c>
      <c r="Z96" s="90">
        <f t="shared" si="43"/>
        <v>0.89218391495202343</v>
      </c>
      <c r="AA96" s="91">
        <f t="shared" si="44"/>
        <v>965.17412935323284</v>
      </c>
      <c r="AB96" s="92">
        <f t="shared" si="45"/>
        <v>89.667610746268551</v>
      </c>
      <c r="AC96" s="84" t="str">
        <f>IF(AB96=MIN(AB93:AB96),"Minimum","")</f>
        <v>Minimum</v>
      </c>
      <c r="AD96" s="86"/>
      <c r="AE96" s="87"/>
      <c r="AF96" s="88"/>
      <c r="AG96" s="93"/>
      <c r="AH96" s="89"/>
      <c r="AI96" s="90"/>
      <c r="AJ96" s="90"/>
      <c r="AK96" s="91"/>
      <c r="AL96" s="92"/>
      <c r="AM96" s="84"/>
    </row>
    <row r="97" spans="1:39" s="4" customFormat="1" ht="13.5" x14ac:dyDescent="0.25">
      <c r="A97" s="94"/>
      <c r="B97" s="94"/>
      <c r="C97" s="95"/>
      <c r="D97" s="96"/>
      <c r="E97" s="97"/>
      <c r="F97" s="97"/>
      <c r="G97" s="98"/>
      <c r="H97" s="98"/>
      <c r="I97" s="86"/>
      <c r="J97" s="77"/>
      <c r="K97" s="94"/>
      <c r="L97" s="94"/>
      <c r="M97" s="95">
        <f>SUM(M93:M96)</f>
        <v>0.34699999999999964</v>
      </c>
      <c r="N97" s="96"/>
      <c r="O97" s="97">
        <f>SUM(O93:O96)</f>
        <v>9.1988217967599303E-2</v>
      </c>
      <c r="P97" s="97">
        <f>SUM(P93:P96)</f>
        <v>0.99015293759600675</v>
      </c>
      <c r="Q97" s="98">
        <f>1/(SUM(IF(ISERR(Q93),0,1/Q93),IF(ISERR(Q94),0,1/Q94),IF(ISERR(Q95),0,1/Q95),IF(ISERR(Q96),0,1/Q96))/COUNT(Q93:Q96))</f>
        <v>3443.7995299775985</v>
      </c>
      <c r="R97" s="98">
        <f>1/(SUM(IF(ISERR(R93),0,1/R93),IF(ISERR(R94),0,1/R94),IF(ISERR(R95),0,1/R95),IF(ISERR(R96),0,1/R96))/COUNT(R93:R96))</f>
        <v>319.93944548548995</v>
      </c>
      <c r="S97" s="86" t="s">
        <v>17</v>
      </c>
      <c r="T97" s="86"/>
      <c r="U97" s="94"/>
      <c r="V97" s="94"/>
      <c r="W97" s="95">
        <f>SUM(W93:W96)</f>
        <v>0.31600000000000017</v>
      </c>
      <c r="X97" s="96"/>
      <c r="Y97" s="97">
        <f>SUM(Y93:Y96)</f>
        <v>8.3770250368188554E-2</v>
      </c>
      <c r="Z97" s="97">
        <f>SUM(Z93:Z96)</f>
        <v>0.90169547054852628</v>
      </c>
      <c r="AA97" s="98">
        <f>1/(SUM(IF(ISERR(AA93),0,1/AA93),IF(ISERR(AA94),0,1/AA94),IF(ISERR(AA95),0,1/AA95),IF(ISERR(AA96),0,1/AA96))/COUNT(AA93:AA96))</f>
        <v>3750.3987810394524</v>
      </c>
      <c r="AB97" s="98">
        <f>1/(SUM(IF(ISERR(AB93),0,1/AB93),IF(ISERR(AB94),0,1/AB94),IF(ISERR(AB95),0,1/AB95),IF(ISERR(AB96),0,1/AB96))/COUNT(AB93:AB96))</f>
        <v>348.4234479708594</v>
      </c>
      <c r="AC97" s="86" t="s">
        <v>17</v>
      </c>
      <c r="AD97" s="86"/>
      <c r="AE97" s="94"/>
      <c r="AF97" s="94"/>
      <c r="AG97" s="95"/>
      <c r="AH97" s="96"/>
      <c r="AI97" s="97"/>
      <c r="AJ97" s="97"/>
      <c r="AK97" s="98"/>
      <c r="AL97" s="98"/>
      <c r="AM97" s="86"/>
    </row>
    <row r="98" spans="1:39" s="4" customFormat="1" x14ac:dyDescent="0.2">
      <c r="A98" s="86"/>
      <c r="B98" s="86"/>
      <c r="C98" s="86"/>
      <c r="D98" s="86"/>
      <c r="E98" s="86"/>
      <c r="F98" s="86"/>
      <c r="G98" s="172"/>
      <c r="H98" s="172"/>
      <c r="I98" s="86"/>
      <c r="J98" s="86"/>
      <c r="K98" s="86"/>
      <c r="L98" s="86"/>
      <c r="M98" s="86"/>
      <c r="N98" s="86"/>
      <c r="O98" s="86"/>
      <c r="P98" s="86"/>
      <c r="Q98" s="172"/>
      <c r="R98" s="172"/>
      <c r="S98" s="86"/>
      <c r="T98" s="86"/>
      <c r="U98" s="86"/>
      <c r="V98" s="86"/>
      <c r="W98" s="86"/>
      <c r="X98" s="86"/>
      <c r="Y98" s="86"/>
      <c r="Z98" s="86"/>
      <c r="AA98" s="172"/>
      <c r="AB98" s="172"/>
      <c r="AC98" s="86"/>
      <c r="AD98" s="86"/>
      <c r="AE98" s="86"/>
      <c r="AF98" s="86"/>
      <c r="AG98" s="86"/>
      <c r="AH98" s="86"/>
      <c r="AI98" s="86"/>
      <c r="AJ98" s="86"/>
      <c r="AK98" s="172"/>
      <c r="AL98" s="172"/>
      <c r="AM98" s="86"/>
    </row>
    <row r="99" spans="1:39" s="4" customFormat="1" x14ac:dyDescent="0.2">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row>
    <row r="100" spans="1:39" s="4" customFormat="1" x14ac:dyDescent="0.2">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row>
  </sheetData>
  <mergeCells count="11">
    <mergeCell ref="AK98:AL98"/>
    <mergeCell ref="AK56:AL56"/>
    <mergeCell ref="AA82:AB82"/>
    <mergeCell ref="Q82:R82"/>
    <mergeCell ref="G82:H82"/>
    <mergeCell ref="G56:H56"/>
    <mergeCell ref="Q56:R56"/>
    <mergeCell ref="AA56:AB56"/>
    <mergeCell ref="G98:H98"/>
    <mergeCell ref="Q98:R98"/>
    <mergeCell ref="AA98:AB98"/>
  </mergeCells>
  <phoneticPr fontId="0" type="noConversion"/>
  <pageMargins left="0.78740157499999996" right="0.78740157499999996" top="0.984251969" bottom="0.984251969" header="0.5" footer="0.5"/>
  <pageSetup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7"/>
  <sheetViews>
    <sheetView showGridLines="0" tabSelected="1" zoomScale="70" zoomScaleNormal="70" workbookViewId="0">
      <selection activeCell="G3" sqref="G3"/>
    </sheetView>
  </sheetViews>
  <sheetFormatPr defaultRowHeight="17.25" x14ac:dyDescent="0.3"/>
  <cols>
    <col min="1" max="1" width="30.5703125" style="25" customWidth="1"/>
    <col min="2" max="2" width="24.7109375" style="25" customWidth="1"/>
    <col min="3" max="3" width="18.7109375" style="25" customWidth="1"/>
    <col min="4" max="4" width="0.85546875" style="25" customWidth="1"/>
    <col min="5" max="7" width="19.7109375" style="25" customWidth="1"/>
    <col min="8" max="8" width="11.140625" style="25" customWidth="1"/>
    <col min="9" max="9" width="14.5703125" style="153" customWidth="1"/>
    <col min="10" max="10" width="9.140625" style="25"/>
    <col min="11" max="16384" width="9.140625" style="1"/>
  </cols>
  <sheetData>
    <row r="1" spans="1:10" ht="105" customHeight="1" x14ac:dyDescent="0.3">
      <c r="A1" s="36"/>
      <c r="B1" s="188" t="s">
        <v>92</v>
      </c>
      <c r="C1" s="188"/>
      <c r="D1" s="188"/>
      <c r="E1" s="188"/>
      <c r="F1" s="188"/>
      <c r="G1" s="188"/>
      <c r="H1" s="37"/>
      <c r="I1" s="148"/>
    </row>
    <row r="2" spans="1:10" s="3" customFormat="1" x14ac:dyDescent="0.3">
      <c r="A2" s="174" t="s">
        <v>2</v>
      </c>
      <c r="B2" s="174" t="s">
        <v>9</v>
      </c>
      <c r="C2" s="199" t="s">
        <v>0</v>
      </c>
      <c r="D2" s="239"/>
      <c r="E2" s="144" t="s">
        <v>48</v>
      </c>
      <c r="F2" s="164" t="s">
        <v>94</v>
      </c>
      <c r="G2" s="144" t="s">
        <v>51</v>
      </c>
      <c r="H2" s="174" t="s">
        <v>86</v>
      </c>
      <c r="I2" s="175"/>
      <c r="J2" s="26"/>
    </row>
    <row r="3" spans="1:10" s="3" customFormat="1" ht="18.75" customHeight="1" x14ac:dyDescent="0.3">
      <c r="A3" s="176"/>
      <c r="B3" s="176"/>
      <c r="C3" s="200"/>
      <c r="D3" s="240"/>
      <c r="E3" s="145" t="s">
        <v>87</v>
      </c>
      <c r="F3" s="165" t="s">
        <v>90</v>
      </c>
      <c r="G3" s="165" t="s">
        <v>90</v>
      </c>
      <c r="H3" s="176"/>
      <c r="I3" s="177"/>
      <c r="J3" s="26"/>
    </row>
    <row r="4" spans="1:10" s="3" customFormat="1" ht="18.75" customHeight="1" x14ac:dyDescent="0.3">
      <c r="A4" s="263" t="s">
        <v>89</v>
      </c>
      <c r="B4" s="246"/>
      <c r="C4" s="194" t="s">
        <v>21</v>
      </c>
      <c r="D4" s="142"/>
      <c r="E4" s="191">
        <f>Calculus!P27</f>
        <v>0.42030297004634293</v>
      </c>
      <c r="F4" s="201">
        <f>+Calculus!P23*Results!$E$50+Calculus!P24*Results!$E$51+Calculus!P25*Results!$E$52+Calculus!P26*Results!$E$53</f>
        <v>0.25210241447188564</v>
      </c>
      <c r="G4" s="201">
        <f>+F4+$H$50</f>
        <v>0.80002722704138729</v>
      </c>
      <c r="H4" s="178">
        <f>TRUNC(Calculus!R27,0)</f>
        <v>442</v>
      </c>
      <c r="I4" s="180" t="str">
        <f>"min: " &amp; TRUNC(INDEX(Calculus!R23:R26,MATCH("Minimum",Calculus!S23:S26,0),1),0) &amp; " " &amp; INDEX(Calculus!L23:L26,MATCH("Minimum",Calculus!S23:S26,0),1)</f>
        <v>min: 322 K</v>
      </c>
      <c r="J4" s="26"/>
    </row>
    <row r="5" spans="1:10" s="3" customFormat="1" ht="18.75" customHeight="1" x14ac:dyDescent="0.3">
      <c r="A5" s="264"/>
      <c r="B5" s="244"/>
      <c r="C5" s="214" t="s">
        <v>1</v>
      </c>
      <c r="D5" s="142"/>
      <c r="E5" s="203"/>
      <c r="F5" s="202"/>
      <c r="G5" s="202"/>
      <c r="H5" s="179"/>
      <c r="I5" s="181"/>
      <c r="J5" s="26"/>
    </row>
    <row r="6" spans="1:10" s="3" customFormat="1" ht="18.75" customHeight="1" x14ac:dyDescent="0.3">
      <c r="A6" s="264"/>
      <c r="B6" s="244"/>
      <c r="C6" s="210" t="s">
        <v>49</v>
      </c>
      <c r="D6" s="142"/>
      <c r="E6" s="189">
        <f>Calculus!Z27</f>
        <v>0.35892539346814589</v>
      </c>
      <c r="F6" s="216">
        <f>+Calculus!Z23*Results!$E$50+Calculus!Z24*Results!$E$51+Calculus!Z25*Results!$E$52+Calculus!Z26*Results!$E$53</f>
        <v>0.21383344946520247</v>
      </c>
      <c r="G6" s="216">
        <f>+F6+$H$50</f>
        <v>0.76175826203470409</v>
      </c>
      <c r="H6" s="206">
        <f>TRUNC(Calculus!AB27,0)</f>
        <v>532</v>
      </c>
      <c r="I6" s="187" t="str">
        <f>"min: " &amp; TRUNC(INDEX(Calculus!AB23:AB26,MATCH("Minimum",Calculus!AC23:AC26,0),1),0) &amp; " " &amp; INDEX(Calculus!V23:V26,MATCH("Minimum",Calculus!AC23:AC26,0),1)</f>
        <v>min: 361 K</v>
      </c>
      <c r="J6" s="26"/>
    </row>
    <row r="7" spans="1:10" s="3" customFormat="1" ht="18.75" customHeight="1" x14ac:dyDescent="0.3">
      <c r="A7" s="264"/>
      <c r="B7" s="244"/>
      <c r="C7" s="210"/>
      <c r="D7" s="142"/>
      <c r="E7" s="189"/>
      <c r="F7" s="216"/>
      <c r="G7" s="216"/>
      <c r="H7" s="206"/>
      <c r="I7" s="187"/>
      <c r="J7" s="26"/>
    </row>
    <row r="8" spans="1:10" s="3" customFormat="1" ht="18.75" customHeight="1" x14ac:dyDescent="0.3">
      <c r="A8" s="264"/>
      <c r="B8" s="244"/>
      <c r="C8" s="198" t="s">
        <v>83</v>
      </c>
      <c r="D8" s="142"/>
      <c r="E8" s="203">
        <f>Calculus!AJ27</f>
        <v>0.14477102301596129</v>
      </c>
      <c r="F8" s="202">
        <f>+Calculus!AJ23*Results!$E$50+Calculus!AJ24*Results!$E$51+Calculus!AJ25*Results!$E$52+Calculus!AJ26*Results!$E$53</f>
        <v>8.7863910294046776E-2</v>
      </c>
      <c r="G8" s="202">
        <f>+F8+$H$50</f>
        <v>0.63578872286354837</v>
      </c>
      <c r="H8" s="179">
        <f>TRUNC(Calculus!AL27,0)</f>
        <v>1226</v>
      </c>
      <c r="I8" s="181" t="str">
        <f>"min: " &amp; TRUNC(INDEX(Calculus!AL23:AL26,MATCH("Minimum",Calculus!AM23:AM26,0),1),0) &amp; " " &amp; INDEX(Calculus!AF23:AF26,MATCH("Minimum",Calculus!AM23:AM26,0),1)</f>
        <v>min: 1016 K</v>
      </c>
      <c r="J8" s="26"/>
    </row>
    <row r="9" spans="1:10" s="3" customFormat="1" ht="18.75" customHeight="1" x14ac:dyDescent="0.3">
      <c r="A9" s="264"/>
      <c r="B9" s="247"/>
      <c r="C9" s="212" t="s">
        <v>1</v>
      </c>
      <c r="D9" s="142"/>
      <c r="E9" s="192"/>
      <c r="F9" s="220"/>
      <c r="G9" s="220"/>
      <c r="H9" s="207"/>
      <c r="I9" s="185"/>
      <c r="J9" s="26"/>
    </row>
    <row r="10" spans="1:10" s="3" customFormat="1" ht="18.75" customHeight="1" x14ac:dyDescent="0.3">
      <c r="A10" s="264"/>
      <c r="B10" s="243"/>
      <c r="C10" s="218" t="s">
        <v>21</v>
      </c>
      <c r="D10" s="142"/>
      <c r="E10" s="248">
        <f>Calculus!P34</f>
        <v>0.30688788289098068</v>
      </c>
      <c r="F10" s="235">
        <f>+Calculus!P30*Results!$E$50+Calculus!P31*Results!$E$51+Calculus!P32*Results!$E$52+Calculus!P33*Results!$E$53</f>
        <v>0.17104283427994327</v>
      </c>
      <c r="G10" s="235">
        <f>+F10+$H$50</f>
        <v>0.71896764684944492</v>
      </c>
      <c r="H10" s="215">
        <f>TRUNC(Calculus!R34,0)</f>
        <v>848</v>
      </c>
      <c r="I10" s="186" t="str">
        <f>"min: " &amp; TRUNC(INDEX(Calculus!R30:R33,MATCH("Minimum",Calculus!S30:S33,0),1),0) &amp; " " &amp; INDEX(Calculus!L30:L33,MATCH("Minimum",Calculus!S30:S33,0),1)</f>
        <v>min: 299 K</v>
      </c>
      <c r="J10" s="26"/>
    </row>
    <row r="11" spans="1:10" s="3" customFormat="1" ht="18.75" customHeight="1" x14ac:dyDescent="0.3">
      <c r="A11" s="264"/>
      <c r="B11" s="244"/>
      <c r="C11" s="219" t="s">
        <v>1</v>
      </c>
      <c r="D11" s="142"/>
      <c r="E11" s="189"/>
      <c r="F11" s="216"/>
      <c r="G11" s="216"/>
      <c r="H11" s="206"/>
      <c r="I11" s="187"/>
      <c r="J11" s="26"/>
    </row>
    <row r="12" spans="1:10" s="3" customFormat="1" ht="18.75" customHeight="1" x14ac:dyDescent="0.3">
      <c r="A12" s="264"/>
      <c r="B12" s="244"/>
      <c r="C12" s="198" t="s">
        <v>49</v>
      </c>
      <c r="D12" s="142"/>
      <c r="E12" s="203">
        <f>Calculus!Z34</f>
        <v>0.25218178202780461</v>
      </c>
      <c r="F12" s="202">
        <f>+Calculus!Z30*Results!$E$50+Calculus!Z31*Results!$E$51+Calculus!Z32*Results!$E$52+Calculus!Z33*Results!$E$53</f>
        <v>0.13859300645296552</v>
      </c>
      <c r="G12" s="202">
        <f>+F12+H50</f>
        <v>0.68651781902246722</v>
      </c>
      <c r="H12" s="179">
        <f>TRUNC(Calculus!AB34,0)</f>
        <v>1113</v>
      </c>
      <c r="I12" s="181" t="str">
        <f>"min: " &amp; TRUNC(INDEX(Calculus!AB30:AB33,MATCH("Minimum",Calculus!AC30:AC33,0),1),0) &amp; " " &amp; INDEX(Calculus!V30:V33,MATCH("Minimum",Calculus!AC30:AC33,0),1)</f>
        <v>min: 344 K</v>
      </c>
      <c r="J12" s="26"/>
    </row>
    <row r="13" spans="1:10" s="3" customFormat="1" ht="18.75" customHeight="1" x14ac:dyDescent="0.3">
      <c r="A13" s="264"/>
      <c r="B13" s="244"/>
      <c r="C13" s="198"/>
      <c r="D13" s="142"/>
      <c r="E13" s="203"/>
      <c r="F13" s="202"/>
      <c r="G13" s="202"/>
      <c r="H13" s="179"/>
      <c r="I13" s="181"/>
      <c r="J13" s="26"/>
    </row>
    <row r="14" spans="1:10" s="3" customFormat="1" ht="18.75" customHeight="1" x14ac:dyDescent="0.3">
      <c r="A14" s="264"/>
      <c r="B14" s="244"/>
      <c r="C14" s="210" t="s">
        <v>83</v>
      </c>
      <c r="D14" s="142"/>
      <c r="E14" s="189">
        <f>Calculus!AJ34</f>
        <v>9.0732069724290057E-2</v>
      </c>
      <c r="F14" s="216">
        <f>+Calculus!AJ30*Results!$E$50+Calculus!AJ31*Results!$E$51+Calculus!AJ32*Results!$E$52+Calculus!AJ33*Results!$E$53</f>
        <v>5.0900196505920266E-2</v>
      </c>
      <c r="G14" s="216">
        <f>+F14+H50</f>
        <v>0.59882500907542191</v>
      </c>
      <c r="H14" s="206">
        <f>TRUNC(Calculus!AL34,0)</f>
        <v>2773</v>
      </c>
      <c r="I14" s="187" t="str">
        <f>"min: " &amp; TRUNC(INDEX(Calculus!AL30:AL33,MATCH("Minimum",Calculus!AM30:AM33,0),1),0) &amp; " " &amp; INDEX(Calculus!AF30:AF33,MATCH("Minimum",Calculus!AM30:AM33,0),1)</f>
        <v>min: 1042 K</v>
      </c>
      <c r="J14" s="26"/>
    </row>
    <row r="15" spans="1:10" s="3" customFormat="1" ht="19.5" customHeight="1" x14ac:dyDescent="0.3">
      <c r="A15" s="264"/>
      <c r="B15" s="245"/>
      <c r="C15" s="211" t="s">
        <v>1</v>
      </c>
      <c r="D15" s="142"/>
      <c r="E15" s="190"/>
      <c r="F15" s="234"/>
      <c r="G15" s="234"/>
      <c r="H15" s="223"/>
      <c r="I15" s="233"/>
      <c r="J15" s="26"/>
    </row>
    <row r="16" spans="1:10" s="3" customFormat="1" ht="18.75" customHeight="1" x14ac:dyDescent="0.3">
      <c r="A16" s="264"/>
      <c r="B16" s="236"/>
      <c r="C16" s="194" t="s">
        <v>21</v>
      </c>
      <c r="D16" s="183"/>
      <c r="E16" s="191">
        <f>Calculus!P41</f>
        <v>4.3155274556646424</v>
      </c>
      <c r="F16" s="201">
        <f>+Calculus!P37*Results!$E$50+Calculus!P38*Results!$E$51+Calculus!P39*Results!$E$52+Calculus!P40*Results!$E$53</f>
        <v>2.8913317381430352</v>
      </c>
      <c r="G16" s="201">
        <f>F16+H50</f>
        <v>3.4392565507125368</v>
      </c>
      <c r="H16" s="178">
        <f>TRUNC(Calculus!R41,0)</f>
        <v>29</v>
      </c>
      <c r="I16" s="180" t="str">
        <f>"min: " &amp; TRUNC(INDEX(Calculus!R37:R40,MATCH("Minimum",Calculus!S37:S40,0),1),0) &amp; " " &amp; INDEX(Calculus!L37:L40,MATCH("Minimum",Calculus!S37:S40,0),1)</f>
        <v>min: 15 Y</v>
      </c>
      <c r="J16" s="26"/>
    </row>
    <row r="17" spans="1:10" s="3" customFormat="1" ht="18.75" customHeight="1" x14ac:dyDescent="0.3">
      <c r="A17" s="264"/>
      <c r="B17" s="237"/>
      <c r="C17" s="214"/>
      <c r="D17" s="184"/>
      <c r="E17" s="203"/>
      <c r="F17" s="202"/>
      <c r="G17" s="202"/>
      <c r="H17" s="182"/>
      <c r="I17" s="181"/>
      <c r="J17" s="26"/>
    </row>
    <row r="18" spans="1:10" s="3" customFormat="1" ht="18.75" customHeight="1" x14ac:dyDescent="0.3">
      <c r="A18" s="264"/>
      <c r="B18" s="237"/>
      <c r="C18" s="210" t="s">
        <v>49</v>
      </c>
      <c r="D18" s="146"/>
      <c r="E18" s="189">
        <f>Calculus!Z41</f>
        <v>3.8742960865168765</v>
      </c>
      <c r="F18" s="216">
        <f>+Calculus!Z37*Results!$E$50+Calculus!Z38*Results!$E$51+Calculus!Z39*Results!$E$52+Calculus!Z40*Results!$E$53</f>
        <v>2.5636450531949242</v>
      </c>
      <c r="G18" s="216">
        <f>F18+H50</f>
        <v>3.1115698657644257</v>
      </c>
      <c r="H18" s="206">
        <f>TRUNC(Calculus!AB41,0)</f>
        <v>33</v>
      </c>
      <c r="I18" s="231" t="str">
        <f>"min: " &amp; TRUNC(INDEX(Calculus!AB37:AB40,MATCH("Minimum",Calculus!AC37:AC40,0),1),0) &amp; " " &amp; INDEX(Calculus!V37:V40,MATCH("Minimum",Calculus!AC37:AC40,0),1)</f>
        <v>min: 18 Y</v>
      </c>
      <c r="J18" s="26"/>
    </row>
    <row r="19" spans="1:10" s="3" customFormat="1" ht="18.75" customHeight="1" x14ac:dyDescent="0.3">
      <c r="A19" s="264"/>
      <c r="B19" s="238"/>
      <c r="C19" s="262"/>
      <c r="D19" s="147"/>
      <c r="E19" s="241"/>
      <c r="F19" s="242"/>
      <c r="G19" s="242"/>
      <c r="H19" s="224"/>
      <c r="I19" s="232"/>
      <c r="J19" s="26"/>
    </row>
    <row r="20" spans="1:10" s="3" customFormat="1" ht="18.75" customHeight="1" x14ac:dyDescent="0.3">
      <c r="A20" s="264"/>
      <c r="B20" s="193"/>
      <c r="C20" s="214" t="s">
        <v>21</v>
      </c>
      <c r="D20" s="217"/>
      <c r="E20" s="203">
        <f>Calculus!P97</f>
        <v>0.99015293759600675</v>
      </c>
      <c r="F20" s="202">
        <f>+Calculus!P93*Results!$E$50+Calculus!P94*Results!$E$51+Calculus!P95*Results!$E$52+Calculus!P96*Results!$E$53</f>
        <v>0.53307554338687924</v>
      </c>
      <c r="G20" s="202">
        <f>F20+H50</f>
        <v>1.0810003559563808</v>
      </c>
      <c r="H20" s="179">
        <f>TRUNC(Calculus!R97,0)</f>
        <v>319</v>
      </c>
      <c r="I20" s="208" t="str">
        <f>"min: " &amp; TRUNC(INDEX(Calculus!R93:R96,MATCH("Minimum",Calculus!S93:S96,0),1),0) &amp; " " &amp; INDEX(Calculus!L93:L96,MATCH("Minimum",Calculus!S93:S96,0),1)</f>
        <v>min: 81 K</v>
      </c>
      <c r="J20" s="26"/>
    </row>
    <row r="21" spans="1:10" s="3" customFormat="1" ht="18.75" customHeight="1" x14ac:dyDescent="0.3">
      <c r="A21" s="264"/>
      <c r="B21" s="193"/>
      <c r="C21" s="214"/>
      <c r="D21" s="217"/>
      <c r="E21" s="203"/>
      <c r="F21" s="202"/>
      <c r="G21" s="202"/>
      <c r="H21" s="182"/>
      <c r="I21" s="208"/>
      <c r="J21" s="26"/>
    </row>
    <row r="22" spans="1:10" s="3" customFormat="1" ht="18.75" customHeight="1" x14ac:dyDescent="0.3">
      <c r="A22" s="264"/>
      <c r="B22" s="193"/>
      <c r="C22" s="210" t="s">
        <v>50</v>
      </c>
      <c r="D22" s="213"/>
      <c r="E22" s="189">
        <f>Calculus!Z97</f>
        <v>0.90169547054852628</v>
      </c>
      <c r="F22" s="216">
        <f>+Calculus!Z93*Results!$E$50+Calculus!Z94*Results!$E$51+Calculus!Z95*Results!$E$52+Calculus!Z96*Results!$E$53</f>
        <v>0.48610854780154217</v>
      </c>
      <c r="G22" s="216">
        <f>F22+H50</f>
        <v>1.0340333603710439</v>
      </c>
      <c r="H22" s="206">
        <f>TRUNC(Calculus!AB97,0)</f>
        <v>348</v>
      </c>
      <c r="I22" s="204" t="str">
        <f>"min: " &amp; TRUNC(INDEX(Calculus!AB93:AB96,MATCH("Minimum",Calculus!AC93:AC96,0),1),0) &amp; " " &amp; INDEX(Calculus!V93:V96,MATCH("Minimum",Calculus!AC93:AC96,0),1)</f>
        <v>min: 89 K</v>
      </c>
      <c r="J22" s="26"/>
    </row>
    <row r="23" spans="1:10" s="3" customFormat="1" ht="18.75" customHeight="1" x14ac:dyDescent="0.3">
      <c r="A23" s="264"/>
      <c r="B23" s="193"/>
      <c r="C23" s="210" t="s">
        <v>1</v>
      </c>
      <c r="D23" s="213"/>
      <c r="E23" s="189"/>
      <c r="F23" s="216"/>
      <c r="G23" s="216"/>
      <c r="H23" s="206"/>
      <c r="I23" s="204"/>
      <c r="J23" s="26"/>
    </row>
    <row r="24" spans="1:10" s="3" customFormat="1" ht="36.75" customHeight="1" x14ac:dyDescent="0.3">
      <c r="A24" s="264"/>
      <c r="B24" s="250"/>
      <c r="C24" s="194" t="s">
        <v>21</v>
      </c>
      <c r="D24" s="184"/>
      <c r="E24" s="191">
        <f>+Calculus!P48</f>
        <v>9.3141389501501592</v>
      </c>
      <c r="F24" s="201">
        <f>+Calculus!P44*Results!$E$50+Calculus!P45*Results!$E$51+Calculus!P46*Results!$E$52+Calculus!P47*Results!$E$53</f>
        <v>6.082055882516082</v>
      </c>
      <c r="G24" s="201">
        <f>F24+H50</f>
        <v>6.6299806950855835</v>
      </c>
      <c r="H24" s="178">
        <f>TRUNC(Calculus!R48,0)</f>
        <v>14</v>
      </c>
      <c r="I24" s="221" t="str">
        <f>"min: " &amp; TRUNC(INDEX(Calculus!R44:R47,MATCH("Minimum",Calculus!S44:S47,0),1),0) &amp; " " &amp; INDEX(Calculus!L44:L47,MATCH("Minimum",Calculus!S44:S47,0),1)</f>
        <v>min: 10 M</v>
      </c>
      <c r="J24" s="26"/>
    </row>
    <row r="25" spans="1:10" s="3" customFormat="1" ht="36.75" customHeight="1" x14ac:dyDescent="0.3">
      <c r="A25" s="264"/>
      <c r="B25" s="251"/>
      <c r="C25" s="195"/>
      <c r="D25" s="184"/>
      <c r="E25" s="192"/>
      <c r="F25" s="220"/>
      <c r="G25" s="220"/>
      <c r="H25" s="207"/>
      <c r="I25" s="222"/>
      <c r="J25" s="26"/>
    </row>
    <row r="26" spans="1:10" s="3" customFormat="1" ht="36.75" customHeight="1" x14ac:dyDescent="0.3">
      <c r="A26" s="264"/>
      <c r="B26" s="193"/>
      <c r="C26" s="196" t="s">
        <v>21</v>
      </c>
      <c r="D26" s="184"/>
      <c r="E26" s="189">
        <f>+Calculus!P55</f>
        <v>3.5515416731579381</v>
      </c>
      <c r="F26" s="235">
        <f>+Calculus!P51*Results!$E$50+Calculus!P52*Results!$E$51+Calculus!P53*Results!$E$52+Calculus!P54*Results!$E$53</f>
        <v>2.3754554751794932</v>
      </c>
      <c r="G26" s="235">
        <f>F26+H50</f>
        <v>2.9233802877489947</v>
      </c>
      <c r="H26" s="206">
        <f>TRUNC(Calculus!R55,0)</f>
        <v>35</v>
      </c>
      <c r="I26" s="204" t="str">
        <f>"min: " &amp; TRUNC(INDEX(Calculus!R51:R54,MATCH("Minimum",Calculus!S51:S54,0),1),0) &amp; " " &amp; INDEX(Calculus!L51:L54,MATCH("Minimum",Calculus!S51:S54,0),1)</f>
        <v>min: 17 Y</v>
      </c>
      <c r="J26" s="26"/>
    </row>
    <row r="27" spans="1:10" s="3" customFormat="1" ht="36.75" customHeight="1" x14ac:dyDescent="0.3">
      <c r="A27" s="265"/>
      <c r="B27" s="249"/>
      <c r="C27" s="197"/>
      <c r="D27" s="268"/>
      <c r="E27" s="190"/>
      <c r="F27" s="234"/>
      <c r="G27" s="234"/>
      <c r="H27" s="223"/>
      <c r="I27" s="277"/>
      <c r="J27" s="26"/>
    </row>
    <row r="28" spans="1:10" s="3" customFormat="1" ht="18.75" customHeight="1" x14ac:dyDescent="0.3">
      <c r="A28" s="272" t="s">
        <v>44</v>
      </c>
      <c r="B28" s="236"/>
      <c r="C28" s="194" t="s">
        <v>20</v>
      </c>
      <c r="D28" s="267"/>
      <c r="E28" s="191">
        <f>Calculus!F64</f>
        <v>7.3740968663031543</v>
      </c>
      <c r="F28" s="201">
        <f>+Calculus!F60*Results!$E$50+Calculus!F61*Results!$E$51+Calculus!F62*Results!$E$52+Calculus!F63*Results!$E$53</f>
        <v>5.0679002400618769</v>
      </c>
      <c r="G28" s="201">
        <f>+F28+H52</f>
        <v>7.8776288076512344</v>
      </c>
      <c r="H28" s="178">
        <f>TRUNC(Calculus!H64,0)</f>
        <v>15</v>
      </c>
      <c r="I28" s="275" t="str">
        <f>"min: " &amp; TRUNC(INDEX(Calculus!H60:H63,MATCH("Minimum",Calculus!I60:I63,0),1),0) &amp; " " &amp; INDEX(Calculus!B60:B63,MATCH("Minimum",Calculus!I60:I63,0),1)</f>
        <v>min: 10 Y</v>
      </c>
      <c r="J28" s="26"/>
    </row>
    <row r="29" spans="1:10" s="3" customFormat="1" ht="18.75" customHeight="1" x14ac:dyDescent="0.3">
      <c r="A29" s="273"/>
      <c r="B29" s="237"/>
      <c r="C29" s="214"/>
      <c r="D29" s="213"/>
      <c r="E29" s="203"/>
      <c r="F29" s="202"/>
      <c r="G29" s="202"/>
      <c r="H29" s="182"/>
      <c r="I29" s="208"/>
      <c r="J29" s="26"/>
    </row>
    <row r="30" spans="1:10" s="3" customFormat="1" ht="18.75" customHeight="1" x14ac:dyDescent="0.3">
      <c r="A30" s="273"/>
      <c r="B30" s="237"/>
      <c r="C30" s="261" t="s">
        <v>21</v>
      </c>
      <c r="D30" s="184"/>
      <c r="E30" s="189">
        <f>Calculus!P64</f>
        <v>7.4088299312531332</v>
      </c>
      <c r="F30" s="216">
        <f>+Calculus!P60*Results!$E$50+Calculus!P61*Results!$E$51+Calculus!P62*Results!$E$52+Calculus!P63*Results!$E$53</f>
        <v>5.0961225827739689</v>
      </c>
      <c r="G30" s="216">
        <f>+F30+H52</f>
        <v>7.9058511503633264</v>
      </c>
      <c r="H30" s="206">
        <f>TRUNC(Calculus!R64,0)</f>
        <v>15</v>
      </c>
      <c r="I30" s="204" t="str">
        <f>"min: " &amp; TRUNC(INDEX(Calculus!R60:R63,MATCH("Minimum",Calculus!S60:S63,0),1),0) &amp; " " &amp; INDEX(Calculus!L60:L63,MATCH("Minimum",Calculus!S60:S63,0),1)</f>
        <v>min: 10 Y</v>
      </c>
      <c r="J30" s="26"/>
    </row>
    <row r="31" spans="1:10" s="3" customFormat="1" ht="18.75" customHeight="1" x14ac:dyDescent="0.3">
      <c r="A31" s="274"/>
      <c r="B31" s="257"/>
      <c r="C31" s="197"/>
      <c r="D31" s="268"/>
      <c r="E31" s="190"/>
      <c r="F31" s="234"/>
      <c r="G31" s="234"/>
      <c r="H31" s="276"/>
      <c r="I31" s="205"/>
      <c r="J31" s="26"/>
    </row>
    <row r="32" spans="1:10" s="3" customFormat="1" ht="18" customHeight="1" x14ac:dyDescent="0.3">
      <c r="A32" s="252" t="s">
        <v>45</v>
      </c>
      <c r="B32" s="256"/>
      <c r="C32" s="194" t="s">
        <v>20</v>
      </c>
      <c r="D32" s="267"/>
      <c r="E32" s="191">
        <f>Calculus!F74</f>
        <v>3.6978035388577624</v>
      </c>
      <c r="F32" s="201">
        <f>+Calculus!F70*Results!$E$50+Calculus!F71*Results!$E$51+Calculus!F72*Results!$E$52+Calculus!F73*Results!$E$53</f>
        <v>2.4793920704968775</v>
      </c>
      <c r="G32" s="201">
        <f>+F32+H51</f>
        <v>3.3913804480123919</v>
      </c>
      <c r="H32" s="178">
        <f>TRUNC(Calculus!H74,0)</f>
        <v>34</v>
      </c>
      <c r="I32" s="275" t="str">
        <f>"min: " &amp; TRUNC(INDEX(Calculus!H70:H73,MATCH("Minimum",Calculus!I70:I73,0),1),0) &amp; " " &amp; INDEX(Calculus!B70:B73,MATCH("Minimum",Calculus!I70:I73,0),1)</f>
        <v>min: 19 Y</v>
      </c>
      <c r="J32" s="26"/>
    </row>
    <row r="33" spans="1:10" s="3" customFormat="1" ht="18" customHeight="1" x14ac:dyDescent="0.3">
      <c r="A33" s="253"/>
      <c r="B33" s="237"/>
      <c r="C33" s="214" t="s">
        <v>1</v>
      </c>
      <c r="D33" s="213"/>
      <c r="E33" s="203"/>
      <c r="F33" s="202"/>
      <c r="G33" s="202"/>
      <c r="H33" s="182"/>
      <c r="I33" s="208"/>
      <c r="J33" s="26"/>
    </row>
    <row r="34" spans="1:10" s="3" customFormat="1" ht="18" customHeight="1" x14ac:dyDescent="0.3">
      <c r="A34" s="253"/>
      <c r="B34" s="237"/>
      <c r="C34" s="255" t="s">
        <v>21</v>
      </c>
      <c r="D34" s="184"/>
      <c r="E34" s="189">
        <f>Calculus!P74</f>
        <v>3.6721836529072522</v>
      </c>
      <c r="F34" s="216">
        <f>+Calculus!P70*Results!$E$50+Calculus!P71*Results!$E$51+Calculus!P72*Results!$E$52+Calculus!P73*Results!$E$53</f>
        <v>2.4749337440791983</v>
      </c>
      <c r="G34" s="216">
        <f>+F34+H51</f>
        <v>3.3869221215947127</v>
      </c>
      <c r="H34" s="206">
        <f>TRUNC(Calculus!R74,0)</f>
        <v>33</v>
      </c>
      <c r="I34" s="204" t="str">
        <f>"min: " &amp; TRUNC(INDEX(Calculus!R70:R73,MATCH("Minimum",Calculus!S70:S73,0),1),0) &amp; " " &amp; INDEX(Calculus!L70:L73,MATCH("Minimum",Calculus!S70:S73,0),1)</f>
        <v>min: 19 Y</v>
      </c>
      <c r="J34" s="26"/>
    </row>
    <row r="35" spans="1:10" s="3" customFormat="1" ht="18" customHeight="1" x14ac:dyDescent="0.3">
      <c r="A35" s="253"/>
      <c r="B35" s="237"/>
      <c r="C35" s="255"/>
      <c r="D35" s="184"/>
      <c r="E35" s="189"/>
      <c r="F35" s="216"/>
      <c r="G35" s="216"/>
      <c r="H35" s="229"/>
      <c r="I35" s="204"/>
      <c r="J35" s="26"/>
    </row>
    <row r="36" spans="1:10" s="3" customFormat="1" ht="18" customHeight="1" x14ac:dyDescent="0.3">
      <c r="A36" s="253"/>
      <c r="B36" s="237"/>
      <c r="C36" s="258" t="s">
        <v>30</v>
      </c>
      <c r="D36" s="213"/>
      <c r="E36" s="203">
        <f>Calculus!Z74</f>
        <v>3.6408704589677274</v>
      </c>
      <c r="F36" s="202">
        <f>+Calculus!Z70*Results!$E$50+Calculus!Z71*Results!$E$51+Calculus!Z72*Results!$E$52+Calculus!Z73*Results!$E$53</f>
        <v>2.4420769765512782</v>
      </c>
      <c r="G36" s="202">
        <f>+F36+H51</f>
        <v>3.3540653540667926</v>
      </c>
      <c r="H36" s="179">
        <f>TRUNC(Calculus!AB74,0)</f>
        <v>34</v>
      </c>
      <c r="I36" s="208" t="str">
        <f>"min: " &amp; TRUNC(INDEX(Calculus!AB70:AB73,MATCH("Minimum",Calculus!AC70:AC73,0),1),0) &amp; " " &amp; INDEX(Calculus!V70:V73,MATCH("Minimum",Calculus!AC70:AC73,0),1)</f>
        <v>min: 19 Y</v>
      </c>
      <c r="J36" s="26"/>
    </row>
    <row r="37" spans="1:10" s="3" customFormat="1" ht="18" customHeight="1" x14ac:dyDescent="0.3">
      <c r="A37" s="253"/>
      <c r="B37" s="257"/>
      <c r="C37" s="259" t="s">
        <v>1</v>
      </c>
      <c r="D37" s="282"/>
      <c r="E37" s="271"/>
      <c r="F37" s="225"/>
      <c r="G37" s="225"/>
      <c r="H37" s="230"/>
      <c r="I37" s="209"/>
      <c r="J37" s="26"/>
    </row>
    <row r="38" spans="1:10" s="3" customFormat="1" ht="21" customHeight="1" x14ac:dyDescent="0.3">
      <c r="A38" s="253"/>
      <c r="B38" s="236"/>
      <c r="C38" s="283" t="s">
        <v>20</v>
      </c>
      <c r="D38" s="267"/>
      <c r="E38" s="270">
        <f>Calculus!F81</f>
        <v>3.3604678238864345</v>
      </c>
      <c r="F38" s="226">
        <f>+Calculus!F77*Results!$E$50+Calculus!F78*Results!$E$51+Calculus!F79*Results!$E$52+Calculus!F80*Results!$E$53</f>
        <v>2.2783744781651953</v>
      </c>
      <c r="G38" s="226">
        <f>+F38+H51</f>
        <v>3.1903628556807098</v>
      </c>
      <c r="H38" s="228">
        <f>TRUNC(Calculus!H81,0)</f>
        <v>36</v>
      </c>
      <c r="I38" s="227" t="str">
        <f>"min: " &amp; TRUNC(INDEX(Calculus!H77:H80,MATCH("Minimum",Calculus!I77:I80,0),1),0) &amp; " " &amp; INDEX(Calculus!B77:B80,MATCH("Minimum",Calculus!I77:I80,0),1)</f>
        <v>min: 16 Y</v>
      </c>
      <c r="J38" s="26"/>
    </row>
    <row r="39" spans="1:10" s="3" customFormat="1" ht="21" customHeight="1" x14ac:dyDescent="0.3">
      <c r="A39" s="253"/>
      <c r="B39" s="237"/>
      <c r="C39" s="255" t="s">
        <v>1</v>
      </c>
      <c r="D39" s="213"/>
      <c r="E39" s="189"/>
      <c r="F39" s="216"/>
      <c r="G39" s="216"/>
      <c r="H39" s="229"/>
      <c r="I39" s="204"/>
      <c r="J39" s="26"/>
    </row>
    <row r="40" spans="1:10" s="3" customFormat="1" ht="21" customHeight="1" x14ac:dyDescent="0.3">
      <c r="A40" s="253"/>
      <c r="B40" s="237"/>
      <c r="C40" s="258" t="s">
        <v>21</v>
      </c>
      <c r="D40" s="184"/>
      <c r="E40" s="203">
        <f>Calculus!P81</f>
        <v>3.392055735463094</v>
      </c>
      <c r="F40" s="202">
        <f>+Calculus!P77*Results!$E$50+Calculus!P78*Results!$E$51+Calculus!P79*Results!$E$52+Calculus!P80*Results!$E$53</f>
        <v>2.3042260836508288</v>
      </c>
      <c r="G40" s="202">
        <f>+F40+H51</f>
        <v>3.2162144611663432</v>
      </c>
      <c r="H40" s="179">
        <f>TRUNC(Calculus!R81,0)</f>
        <v>35</v>
      </c>
      <c r="I40" s="208" t="str">
        <f>"min: " &amp; TRUNC(INDEX(Calculus!R77:R80,MATCH("Minimum",Calculus!S77:S80,0),1),0) &amp; " " &amp; INDEX(Calculus!L77:L80,MATCH("Minimum",Calculus!S77:S80,0),1)</f>
        <v>min: 16 Y</v>
      </c>
      <c r="J40" s="26"/>
    </row>
    <row r="41" spans="1:10" s="3" customFormat="1" ht="21" customHeight="1" x14ac:dyDescent="0.3">
      <c r="A41" s="253"/>
      <c r="B41" s="257"/>
      <c r="C41" s="259"/>
      <c r="D41" s="268"/>
      <c r="E41" s="271"/>
      <c r="F41" s="225"/>
      <c r="G41" s="225"/>
      <c r="H41" s="230"/>
      <c r="I41" s="209"/>
      <c r="J41" s="26"/>
    </row>
    <row r="42" spans="1:10" s="3" customFormat="1" ht="18.75" customHeight="1" x14ac:dyDescent="0.3">
      <c r="A42" s="253"/>
      <c r="B42" s="256"/>
      <c r="C42" s="260" t="s">
        <v>20</v>
      </c>
      <c r="D42" s="183"/>
      <c r="E42" s="270">
        <f>Calculus!F88</f>
        <v>5.4924998669937359</v>
      </c>
      <c r="F42" s="226">
        <f>+Calculus!F84*Results!$E$50+Calculus!F85*Results!$E$51+Calculus!F86*Results!$E$52+Calculus!F87*Results!$E$53</f>
        <v>3.6129222453166041</v>
      </c>
      <c r="G42" s="226">
        <f>+F42+H51</f>
        <v>4.5249106228321185</v>
      </c>
      <c r="H42" s="228">
        <f>TRUNC(Calculus!H88,0)</f>
        <v>24</v>
      </c>
      <c r="I42" s="227" t="str">
        <f>"min: " &amp; TRUNC(INDEX(Calculus!H84:H87,MATCH("Minimum",Calculus!I84:I87,0),1),0) &amp; " " &amp; INDEX(Calculus!B84:B87,MATCH("Minimum",Calculus!I84:I87,0),1)</f>
        <v>min: 18 Y</v>
      </c>
      <c r="J42" s="26"/>
    </row>
    <row r="43" spans="1:10" s="3" customFormat="1" ht="18.75" customHeight="1" x14ac:dyDescent="0.3">
      <c r="A43" s="253"/>
      <c r="B43" s="237"/>
      <c r="C43" s="261"/>
      <c r="D43" s="184"/>
      <c r="E43" s="189"/>
      <c r="F43" s="216"/>
      <c r="G43" s="216"/>
      <c r="H43" s="229"/>
      <c r="I43" s="204"/>
      <c r="J43" s="26"/>
    </row>
    <row r="44" spans="1:10" s="3" customFormat="1" ht="18.75" customHeight="1" x14ac:dyDescent="0.3">
      <c r="A44" s="253"/>
      <c r="B44" s="237"/>
      <c r="C44" s="258" t="s">
        <v>21</v>
      </c>
      <c r="D44" s="213"/>
      <c r="E44" s="203">
        <f>Calculus!P88</f>
        <v>5.3355331311620988</v>
      </c>
      <c r="F44" s="202">
        <f>+Calculus!P84*Results!$E$50+Calculus!P85*Results!$E$51+Calculus!P86*Results!$E$52+Calculus!P87*Results!$E$53</f>
        <v>3.5227596539859904</v>
      </c>
      <c r="G44" s="202">
        <f>+F44+H51</f>
        <v>4.4347480315015053</v>
      </c>
      <c r="H44" s="179">
        <f>TRUNC(Calculus!R88,0)</f>
        <v>24</v>
      </c>
      <c r="I44" s="208" t="str">
        <f>"min: " &amp; TRUNC(INDEX(Calculus!R84:R87,MATCH("Minimum",Calculus!S84:S87,0),1),0) &amp; " " &amp; INDEX(Calculus!L84:L87,MATCH("Minimum",Calculus!S84:S87,0),1)</f>
        <v>min: 17 Y</v>
      </c>
      <c r="J44" s="26"/>
    </row>
    <row r="45" spans="1:10" s="3" customFormat="1" ht="18.75" customHeight="1" x14ac:dyDescent="0.3">
      <c r="A45" s="254"/>
      <c r="B45" s="257"/>
      <c r="C45" s="259" t="s">
        <v>1</v>
      </c>
      <c r="D45" s="282"/>
      <c r="E45" s="271"/>
      <c r="F45" s="225"/>
      <c r="G45" s="225"/>
      <c r="H45" s="230"/>
      <c r="I45" s="209"/>
      <c r="J45" s="26"/>
    </row>
    <row r="46" spans="1:10" ht="11.25" customHeight="1" x14ac:dyDescent="0.3">
      <c r="A46" s="269"/>
      <c r="B46" s="269"/>
      <c r="C46" s="269"/>
      <c r="D46" s="269"/>
      <c r="E46" s="269"/>
      <c r="F46" s="269"/>
      <c r="G46" s="269"/>
      <c r="H46" s="269"/>
      <c r="I46" s="269"/>
    </row>
    <row r="47" spans="1:10" x14ac:dyDescent="0.3">
      <c r="A47" s="27"/>
      <c r="B47" s="110"/>
      <c r="C47" s="110"/>
      <c r="D47" s="110"/>
      <c r="E47" s="110"/>
      <c r="F47" s="110"/>
      <c r="G47" s="110"/>
      <c r="H47" s="110"/>
      <c r="I47" s="149"/>
    </row>
    <row r="48" spans="1:10" s="26" customFormat="1" ht="18.75" customHeight="1" x14ac:dyDescent="0.3">
      <c r="A48" s="28"/>
      <c r="B48" s="111" t="s">
        <v>10</v>
      </c>
      <c r="C48" s="111" t="s">
        <v>5</v>
      </c>
      <c r="D48" s="112"/>
      <c r="E48" s="113" t="s">
        <v>71</v>
      </c>
      <c r="F48" s="113"/>
      <c r="G48" s="113"/>
      <c r="H48" s="114" t="s">
        <v>88</v>
      </c>
      <c r="I48" s="114"/>
    </row>
    <row r="49" spans="1:10" s="3" customFormat="1" ht="4.5" customHeight="1" x14ac:dyDescent="0.3">
      <c r="A49" s="28"/>
      <c r="B49" s="30"/>
      <c r="C49" s="30"/>
      <c r="D49" s="31"/>
      <c r="E49" s="32"/>
      <c r="F49" s="32"/>
      <c r="G49" s="32"/>
      <c r="H49" s="32"/>
      <c r="I49" s="150"/>
      <c r="J49" s="26"/>
    </row>
    <row r="50" spans="1:10" s="3" customFormat="1" ht="18.75" customHeight="1" x14ac:dyDescent="0.3">
      <c r="A50" s="28"/>
      <c r="B50" s="29" t="s">
        <v>8</v>
      </c>
      <c r="C50" s="158">
        <f>'Data Introduction'!D7</f>
        <v>20</v>
      </c>
      <c r="D50" s="159"/>
      <c r="E50" s="160">
        <f>+'Data Introduction'!D7/'Data Introduction'!E7</f>
        <v>0.68965517241379315</v>
      </c>
      <c r="F50" s="160"/>
      <c r="G50" s="34" t="s">
        <v>36</v>
      </c>
      <c r="H50" s="161">
        <f>'Data Introduction'!D27/(CONVERT('Data Introduction'!E27,"mm","m")*'Data Introduction'!F27)</f>
        <v>0.54792481256950165</v>
      </c>
      <c r="I50" s="151"/>
      <c r="J50" s="26"/>
    </row>
    <row r="51" spans="1:10" s="3" customFormat="1" ht="18.75" customHeight="1" x14ac:dyDescent="0.3">
      <c r="A51" s="28"/>
      <c r="B51" s="29" t="s">
        <v>7</v>
      </c>
      <c r="C51" s="158">
        <f>'Data Introduction'!D8</f>
        <v>20</v>
      </c>
      <c r="D51" s="159"/>
      <c r="E51" s="160">
        <f>+'Data Introduction'!D8/'Data Introduction'!E8</f>
        <v>0.68965517241379315</v>
      </c>
      <c r="F51" s="160"/>
      <c r="G51" s="34" t="s">
        <v>37</v>
      </c>
      <c r="H51" s="161">
        <f>'Data Introduction'!D26/((CONVERT('Data Introduction'!E26,"mm","m"))*'Data Introduction'!F26)</f>
        <v>0.91198837751551454</v>
      </c>
      <c r="I51" s="151"/>
      <c r="J51" s="26"/>
    </row>
    <row r="52" spans="1:10" s="3" customFormat="1" ht="18.75" customHeight="1" x14ac:dyDescent="0.3">
      <c r="A52" s="28"/>
      <c r="B52" s="29" t="s">
        <v>6</v>
      </c>
      <c r="C52" s="158">
        <f>'Data Introduction'!D9</f>
        <v>20</v>
      </c>
      <c r="D52" s="159"/>
      <c r="E52" s="160">
        <f>+'Data Introduction'!D9/'Data Introduction'!E9</f>
        <v>0.68965517241379315</v>
      </c>
      <c r="F52" s="160"/>
      <c r="G52" s="34" t="s">
        <v>38</v>
      </c>
      <c r="H52" s="161">
        <f>'Data Introduction'!D25/((CONVERT('Data Introduction'!E25,"mm","m"))*'Data Introduction'!F25)</f>
        <v>2.8097285675893575</v>
      </c>
      <c r="I52" s="151"/>
      <c r="J52" s="26"/>
    </row>
    <row r="53" spans="1:10" s="3" customFormat="1" ht="18.75" customHeight="1" x14ac:dyDescent="0.3">
      <c r="A53" s="28"/>
      <c r="B53" s="29" t="s">
        <v>52</v>
      </c>
      <c r="C53" s="158">
        <f>'Data Introduction'!D10</f>
        <v>43</v>
      </c>
      <c r="D53" s="159"/>
      <c r="E53" s="160">
        <f>+'Data Introduction'!D10/'Data Introduction'!E10</f>
        <v>0.53749999999999998</v>
      </c>
      <c r="F53" s="160"/>
      <c r="G53" s="33"/>
      <c r="H53" s="28"/>
      <c r="I53" s="151"/>
      <c r="J53" s="26"/>
    </row>
    <row r="54" spans="1:10" s="3" customFormat="1" ht="18.75" customHeight="1" x14ac:dyDescent="0.3">
      <c r="A54" s="280"/>
      <c r="B54" s="281"/>
      <c r="C54" s="281"/>
      <c r="D54" s="281"/>
      <c r="E54" s="281"/>
      <c r="F54" s="281"/>
      <c r="G54" s="281"/>
      <c r="H54" s="281"/>
      <c r="I54" s="281"/>
      <c r="J54" s="26"/>
    </row>
    <row r="55" spans="1:10" s="3" customFormat="1" ht="11.25" customHeight="1" x14ac:dyDescent="0.3">
      <c r="A55" s="279"/>
      <c r="B55" s="279"/>
      <c r="C55" s="279"/>
      <c r="D55" s="279"/>
      <c r="E55" s="279"/>
      <c r="F55" s="279"/>
      <c r="G55" s="279"/>
      <c r="H55" s="279"/>
      <c r="I55" s="279"/>
      <c r="J55" s="26"/>
    </row>
    <row r="56" spans="1:10" ht="136.5" customHeight="1" x14ac:dyDescent="0.3">
      <c r="A56" s="266" t="s">
        <v>93</v>
      </c>
      <c r="B56" s="266"/>
      <c r="C56" s="266"/>
      <c r="D56" s="266"/>
      <c r="E56" s="266"/>
      <c r="F56" s="163"/>
      <c r="G56" s="35"/>
      <c r="H56" s="35"/>
      <c r="I56" s="152"/>
    </row>
    <row r="57" spans="1:10" ht="97.5" customHeight="1" x14ac:dyDescent="0.3">
      <c r="A57" s="278" t="s">
        <v>70</v>
      </c>
      <c r="B57" s="278"/>
      <c r="C57" s="278"/>
      <c r="D57" s="278"/>
      <c r="E57" s="278"/>
      <c r="F57" s="162"/>
      <c r="G57" s="35"/>
      <c r="H57" s="35"/>
      <c r="I57" s="152"/>
    </row>
  </sheetData>
  <mergeCells count="163">
    <mergeCell ref="F28:F29"/>
    <mergeCell ref="F30:F31"/>
    <mergeCell ref="F32:F33"/>
    <mergeCell ref="F34:F35"/>
    <mergeCell ref="F36:F37"/>
    <mergeCell ref="F38:F39"/>
    <mergeCell ref="F40:F41"/>
    <mergeCell ref="F42:F43"/>
    <mergeCell ref="F44:F45"/>
    <mergeCell ref="A57:E57"/>
    <mergeCell ref="B42:B45"/>
    <mergeCell ref="A55:I55"/>
    <mergeCell ref="A54:I54"/>
    <mergeCell ref="H44:H45"/>
    <mergeCell ref="I44:I45"/>
    <mergeCell ref="E44:E45"/>
    <mergeCell ref="D44:D45"/>
    <mergeCell ref="C30:C31"/>
    <mergeCell ref="D42:D43"/>
    <mergeCell ref="D30:D31"/>
    <mergeCell ref="D36:D37"/>
    <mergeCell ref="D38:D39"/>
    <mergeCell ref="D40:D41"/>
    <mergeCell ref="E32:E33"/>
    <mergeCell ref="G40:G41"/>
    <mergeCell ref="E42:E43"/>
    <mergeCell ref="D32:D33"/>
    <mergeCell ref="C40:C41"/>
    <mergeCell ref="C32:C33"/>
    <mergeCell ref="G38:G39"/>
    <mergeCell ref="C38:C39"/>
    <mergeCell ref="E36:E37"/>
    <mergeCell ref="D34:D35"/>
    <mergeCell ref="A56:E56"/>
    <mergeCell ref="C28:C29"/>
    <mergeCell ref="D28:D29"/>
    <mergeCell ref="D24:D27"/>
    <mergeCell ref="C22:C23"/>
    <mergeCell ref="E22:E23"/>
    <mergeCell ref="A46:I46"/>
    <mergeCell ref="C44:C45"/>
    <mergeCell ref="B38:B41"/>
    <mergeCell ref="E38:E39"/>
    <mergeCell ref="E40:E41"/>
    <mergeCell ref="A28:A31"/>
    <mergeCell ref="G28:G29"/>
    <mergeCell ref="G30:G31"/>
    <mergeCell ref="G36:G37"/>
    <mergeCell ref="G26:G27"/>
    <mergeCell ref="G24:G25"/>
    <mergeCell ref="I28:I29"/>
    <mergeCell ref="H30:H31"/>
    <mergeCell ref="E34:E35"/>
    <mergeCell ref="E30:E31"/>
    <mergeCell ref="H32:H33"/>
    <mergeCell ref="I32:I33"/>
    <mergeCell ref="I26:I27"/>
    <mergeCell ref="E28:E29"/>
    <mergeCell ref="B26:B27"/>
    <mergeCell ref="B24:B25"/>
    <mergeCell ref="A32:A45"/>
    <mergeCell ref="C34:C35"/>
    <mergeCell ref="B32:B37"/>
    <mergeCell ref="C36:C37"/>
    <mergeCell ref="C42:C43"/>
    <mergeCell ref="C16:C17"/>
    <mergeCell ref="E20:E21"/>
    <mergeCell ref="C18:C19"/>
    <mergeCell ref="B28:B31"/>
    <mergeCell ref="A4:A27"/>
    <mergeCell ref="I18:I19"/>
    <mergeCell ref="I6:I7"/>
    <mergeCell ref="H6:H7"/>
    <mergeCell ref="I20:I21"/>
    <mergeCell ref="I14:I15"/>
    <mergeCell ref="H14:H15"/>
    <mergeCell ref="G14:G15"/>
    <mergeCell ref="G10:G11"/>
    <mergeCell ref="A2:A3"/>
    <mergeCell ref="B2:B3"/>
    <mergeCell ref="B16:B19"/>
    <mergeCell ref="E4:E5"/>
    <mergeCell ref="D2:D3"/>
    <mergeCell ref="E18:E19"/>
    <mergeCell ref="G18:G19"/>
    <mergeCell ref="G16:G17"/>
    <mergeCell ref="C4:C5"/>
    <mergeCell ref="C6:C7"/>
    <mergeCell ref="G6:G7"/>
    <mergeCell ref="E6:E7"/>
    <mergeCell ref="B10:B15"/>
    <mergeCell ref="B4:B9"/>
    <mergeCell ref="E10:E11"/>
    <mergeCell ref="E8:E9"/>
    <mergeCell ref="G44:G45"/>
    <mergeCell ref="G34:G35"/>
    <mergeCell ref="G32:G33"/>
    <mergeCell ref="G42:G43"/>
    <mergeCell ref="I42:I43"/>
    <mergeCell ref="H42:H43"/>
    <mergeCell ref="H40:H41"/>
    <mergeCell ref="I40:I41"/>
    <mergeCell ref="H38:H39"/>
    <mergeCell ref="I38:I39"/>
    <mergeCell ref="H34:H35"/>
    <mergeCell ref="I34:I35"/>
    <mergeCell ref="H36:H37"/>
    <mergeCell ref="I30:I31"/>
    <mergeCell ref="I22:I23"/>
    <mergeCell ref="H22:H23"/>
    <mergeCell ref="H24:H25"/>
    <mergeCell ref="I36:I37"/>
    <mergeCell ref="H12:H13"/>
    <mergeCell ref="C14:C15"/>
    <mergeCell ref="C8:C9"/>
    <mergeCell ref="D22:D23"/>
    <mergeCell ref="C20:C21"/>
    <mergeCell ref="G20:G21"/>
    <mergeCell ref="H10:H11"/>
    <mergeCell ref="G22:G23"/>
    <mergeCell ref="D20:D21"/>
    <mergeCell ref="H8:H9"/>
    <mergeCell ref="G12:G13"/>
    <mergeCell ref="E12:E13"/>
    <mergeCell ref="C10:C11"/>
    <mergeCell ref="H28:H29"/>
    <mergeCell ref="G8:G9"/>
    <mergeCell ref="I24:I25"/>
    <mergeCell ref="H26:H27"/>
    <mergeCell ref="H20:H21"/>
    <mergeCell ref="H18:H19"/>
    <mergeCell ref="B1:G1"/>
    <mergeCell ref="E26:E27"/>
    <mergeCell ref="E24:E25"/>
    <mergeCell ref="B20:B23"/>
    <mergeCell ref="C24:C25"/>
    <mergeCell ref="C26:C27"/>
    <mergeCell ref="C12:C13"/>
    <mergeCell ref="E14:E15"/>
    <mergeCell ref="C2:C3"/>
    <mergeCell ref="G4:G5"/>
    <mergeCell ref="E16:E17"/>
    <mergeCell ref="F4:F5"/>
    <mergeCell ref="F6:F7"/>
    <mergeCell ref="F8:F9"/>
    <mergeCell ref="F10:F11"/>
    <mergeCell ref="F12:F13"/>
    <mergeCell ref="F14:F15"/>
    <mergeCell ref="F16:F17"/>
    <mergeCell ref="F18:F19"/>
    <mergeCell ref="F20:F21"/>
    <mergeCell ref="F22:F23"/>
    <mergeCell ref="F24:F25"/>
    <mergeCell ref="F26:F27"/>
    <mergeCell ref="H2:I3"/>
    <mergeCell ref="H4:H5"/>
    <mergeCell ref="I4:I5"/>
    <mergeCell ref="H16:H17"/>
    <mergeCell ref="I16:I17"/>
    <mergeCell ref="D16:D17"/>
    <mergeCell ref="I8:I9"/>
    <mergeCell ref="I10:I11"/>
    <mergeCell ref="I12:I13"/>
  </mergeCells>
  <phoneticPr fontId="0" type="noConversion"/>
  <conditionalFormatting sqref="A32">
    <cfRule type="expression" dxfId="0" priority="1" stopIfTrue="1">
      <formula>"(cost of media not included"</formula>
    </cfRule>
  </conditionalFormatting>
  <printOptions horizontalCentered="1" verticalCentered="1"/>
  <pageMargins left="0.19685039370078741" right="0.19685039370078741" top="0.19685039370078741" bottom="0.19685039370078741" header="0.19685039370078741" footer="0.19685039370078741"/>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How to use</vt:lpstr>
      <vt:lpstr>Data Introduction</vt:lpstr>
      <vt:lpstr>Calculus</vt:lpstr>
      <vt:lpstr>Results</vt:lpstr>
      <vt:lpstr>Results!Print_Area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MIPER</dc:creator>
  <cp:lastModifiedBy>Raquel Garcia Sanchez</cp:lastModifiedBy>
  <cp:lastPrinted>2012-07-24T07:56:10Z</cp:lastPrinted>
  <dcterms:created xsi:type="dcterms:W3CDTF">2002-04-22T08:32:50Z</dcterms:created>
  <dcterms:modified xsi:type="dcterms:W3CDTF">2012-09-14T12:44:30Z</dcterms:modified>
</cp:coreProperties>
</file>